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/>
  <xr:revisionPtr revIDLastSave="0" documentId="8_{7B6903E1-72AE-FA4E-99EE-D6D8BEA8CFEE}" xr6:coauthVersionLast="47" xr6:coauthVersionMax="47" xr10:uidLastSave="{00000000-0000-0000-0000-000000000000}"/>
  <bookViews>
    <workbookView xWindow="0" yWindow="660" windowWidth="34560" windowHeight="21680" xr2:uid="{00000000-000D-0000-FFFF-FFFF00000000}"/>
  </bookViews>
  <sheets>
    <sheet name="Главный" sheetId="1" r:id="rId1"/>
    <sheet name="Лист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K5" i="1"/>
  <c r="L4" i="1"/>
  <c r="K4" i="1"/>
  <c r="L8" i="1"/>
  <c r="K8" i="1"/>
  <c r="L7" i="1"/>
  <c r="K7" i="1"/>
  <c r="L6" i="1"/>
  <c r="K6" i="1"/>
  <c r="L9" i="1" l="1"/>
  <c r="K9" i="1"/>
  <c r="L10" i="1"/>
  <c r="K10" i="1"/>
  <c r="C16" i="1"/>
  <c r="C17" i="1"/>
  <c r="B20" i="1" l="1"/>
  <c r="C20" i="1"/>
  <c r="E20" i="1" s="1"/>
  <c r="F20" i="1" s="1"/>
  <c r="B21" i="1"/>
  <c r="C21" i="1"/>
  <c r="E21" i="1" s="1"/>
  <c r="F21" i="1" s="1"/>
  <c r="B22" i="1"/>
  <c r="C22" i="1"/>
  <c r="E22" i="1" s="1"/>
  <c r="F22" i="1" s="1"/>
  <c r="E8" i="1"/>
  <c r="F8" i="1" s="1"/>
  <c r="E9" i="1"/>
  <c r="F9" i="1" s="1"/>
  <c r="E10" i="1"/>
  <c r="F10" i="1" s="1"/>
  <c r="J16" i="1" l="1"/>
  <c r="B19" i="1"/>
  <c r="C19" i="1"/>
  <c r="E19" i="1" s="1"/>
  <c r="F19" i="1" s="1"/>
  <c r="E7" i="1"/>
  <c r="F7" i="1" s="1"/>
  <c r="L11" i="1" l="1"/>
  <c r="L12" i="1"/>
  <c r="K11" i="1"/>
  <c r="K12" i="1"/>
  <c r="C18" i="1" l="1"/>
  <c r="B18" i="1"/>
  <c r="B17" i="1"/>
  <c r="B16" i="1"/>
  <c r="D1" i="1" l="1"/>
  <c r="F13" i="1"/>
  <c r="E11" i="1"/>
  <c r="F11" i="1" s="1"/>
  <c r="E12" i="1" l="1"/>
  <c r="E79" i="1" l="1"/>
  <c r="B25" i="1"/>
  <c r="C94" i="1"/>
  <c r="J13" i="1" l="1"/>
  <c r="E24" i="1" s="1"/>
  <c r="A17" i="1"/>
  <c r="A18" i="1" s="1"/>
  <c r="A19" i="1" s="1"/>
  <c r="A20" i="1" s="1"/>
  <c r="A21" i="1" s="1"/>
  <c r="A22" i="1" s="1"/>
  <c r="A5" i="1"/>
  <c r="A6" i="1" s="1"/>
  <c r="A7" i="1" s="1"/>
  <c r="A8" i="1" s="1"/>
  <c r="A9" i="1" s="1"/>
  <c r="A10" i="1" s="1"/>
  <c r="L13" i="1"/>
  <c r="K13" i="1"/>
  <c r="E98" i="1"/>
  <c r="D98" i="1"/>
  <c r="C98" i="1"/>
  <c r="B98" i="1"/>
  <c r="D94" i="1"/>
  <c r="B94" i="1"/>
  <c r="I79" i="1"/>
  <c r="G98" i="1"/>
  <c r="J78" i="1"/>
  <c r="F78" i="1"/>
  <c r="J77" i="1"/>
  <c r="F77" i="1"/>
  <c r="J76" i="1"/>
  <c r="F76" i="1"/>
  <c r="J75" i="1"/>
  <c r="F75" i="1"/>
  <c r="J74" i="1"/>
  <c r="F74" i="1"/>
  <c r="J73" i="1"/>
  <c r="F73" i="1"/>
  <c r="J72" i="1"/>
  <c r="F72" i="1"/>
  <c r="J71" i="1"/>
  <c r="F71" i="1"/>
  <c r="J70" i="1"/>
  <c r="F70" i="1"/>
  <c r="J69" i="1"/>
  <c r="F69" i="1"/>
  <c r="J68" i="1"/>
  <c r="F68" i="1"/>
  <c r="J67" i="1"/>
  <c r="F67" i="1"/>
  <c r="J66" i="1"/>
  <c r="F66" i="1"/>
  <c r="J65" i="1"/>
  <c r="F65" i="1"/>
  <c r="J64" i="1"/>
  <c r="F64" i="1"/>
  <c r="J63" i="1"/>
  <c r="F63" i="1"/>
  <c r="J62" i="1"/>
  <c r="F62" i="1"/>
  <c r="J61" i="1"/>
  <c r="F61" i="1"/>
  <c r="J60" i="1"/>
  <c r="F60" i="1"/>
  <c r="J59" i="1"/>
  <c r="F59" i="1"/>
  <c r="J58" i="1"/>
  <c r="F58" i="1"/>
  <c r="J57" i="1"/>
  <c r="F57" i="1"/>
  <c r="J56" i="1"/>
  <c r="F56" i="1"/>
  <c r="J55" i="1"/>
  <c r="F55" i="1"/>
  <c r="F79" i="1" s="1"/>
  <c r="I54" i="1"/>
  <c r="J53" i="1"/>
  <c r="F53" i="1"/>
  <c r="J52" i="1"/>
  <c r="F52" i="1"/>
  <c r="J51" i="1"/>
  <c r="F51" i="1"/>
  <c r="J50" i="1"/>
  <c r="F50" i="1"/>
  <c r="C49" i="1"/>
  <c r="B48" i="1"/>
  <c r="C48" i="1" s="1"/>
  <c r="F40" i="1"/>
  <c r="F39" i="1"/>
  <c r="F35" i="1"/>
  <c r="D32" i="1"/>
  <c r="B82" i="1" s="1"/>
  <c r="E18" i="1"/>
  <c r="F18" i="1" s="1"/>
  <c r="E17" i="1"/>
  <c r="F17" i="1" s="1"/>
  <c r="E16" i="1"/>
  <c r="F12" i="1"/>
  <c r="E6" i="1"/>
  <c r="F6" i="1" s="1"/>
  <c r="E5" i="1"/>
  <c r="F5" i="1" s="1"/>
  <c r="E4" i="1"/>
  <c r="E28" i="1" l="1"/>
  <c r="F31" i="1" s="1"/>
  <c r="E13" i="1"/>
  <c r="F4" i="1"/>
  <c r="F16" i="1"/>
  <c r="J79" i="1"/>
  <c r="F24" i="1" l="1"/>
  <c r="I16" i="1"/>
  <c r="E27" i="1"/>
  <c r="G94" i="1" s="1"/>
  <c r="E25" i="1"/>
  <c r="E82" i="1" s="1"/>
  <c r="F25" i="1" l="1"/>
  <c r="G25" i="1" s="1"/>
  <c r="E37" i="1"/>
  <c r="E49" i="1" s="1"/>
  <c r="J49" i="1" s="1"/>
  <c r="E32" i="1"/>
  <c r="I94" i="1" s="1"/>
  <c r="E48" i="1"/>
  <c r="J48" i="1" s="1"/>
  <c r="E38" i="1"/>
  <c r="H94" i="1" s="1"/>
  <c r="F48" i="1" l="1"/>
  <c r="E54" i="1"/>
  <c r="E81" i="1" s="1"/>
  <c r="C148" i="1"/>
  <c r="E39" i="1" s="1"/>
  <c r="E40" i="1"/>
  <c r="H98" i="1"/>
  <c r="F49" i="1"/>
  <c r="J54" i="1" l="1"/>
  <c r="F98" i="1"/>
  <c r="F54" i="1"/>
  <c r="C149" i="1" s="1"/>
  <c r="E80" i="1" s="1"/>
  <c r="E41" i="1"/>
  <c r="E42" i="1" s="1"/>
  <c r="E34" i="1" l="1"/>
  <c r="F34" i="1" s="1"/>
  <c r="E33" i="1"/>
  <c r="F33" i="1" s="1"/>
  <c r="F41" i="1"/>
  <c r="E83" i="1"/>
  <c r="I98" i="1"/>
  <c r="F42" i="1"/>
  <c r="F94" i="1"/>
</calcChain>
</file>

<file path=xl/sharedStrings.xml><?xml version="1.0" encoding="utf-8"?>
<sst xmlns="http://schemas.openxmlformats.org/spreadsheetml/2006/main" count="158" uniqueCount="113">
  <si>
    <t xml:space="preserve">Закуп </t>
  </si>
  <si>
    <t>Наименование</t>
  </si>
  <si>
    <t>кол</t>
  </si>
  <si>
    <t>Цена за ед.</t>
  </si>
  <si>
    <t>Сумма</t>
  </si>
  <si>
    <t>Продажа</t>
  </si>
  <si>
    <t>Итого</t>
  </si>
  <si>
    <t xml:space="preserve"> </t>
  </si>
  <si>
    <t>Остаток</t>
  </si>
  <si>
    <t>Платежный документ</t>
  </si>
  <si>
    <t>Сумма оплаты</t>
  </si>
  <si>
    <t>Дата оплаты</t>
  </si>
  <si>
    <t>Оплаченная Сумма</t>
  </si>
  <si>
    <t>Менеджеры</t>
  </si>
  <si>
    <t>Итого поступления</t>
  </si>
  <si>
    <t>Дата согласования сделки</t>
  </si>
  <si>
    <t>Дата закрытия сделки</t>
  </si>
  <si>
    <t>Отсрочка (+/-)</t>
  </si>
  <si>
    <t>Способ оплаты (карта, янд, экв, рсч)</t>
  </si>
  <si>
    <t>Сумма оплаты (руб)</t>
  </si>
  <si>
    <t>Расходы по сделке (руб)</t>
  </si>
  <si>
    <t>Оплата менеджеру (руб)</t>
  </si>
  <si>
    <t>Налоговые вычеты (руб)</t>
  </si>
  <si>
    <t>Способ оплаты</t>
  </si>
  <si>
    <t>РСЧ (Гранд Проджект)</t>
  </si>
  <si>
    <t>Итого расходы</t>
  </si>
  <si>
    <t>Менеджер</t>
  </si>
  <si>
    <t>Реестр сделок</t>
  </si>
  <si>
    <t>Итоговая прибыль</t>
  </si>
  <si>
    <t>Закуп товара</t>
  </si>
  <si>
    <t>Планирую потратить на доставку</t>
  </si>
  <si>
    <t>Планирую потратить на сборку</t>
  </si>
  <si>
    <t>Дополнительные затраты</t>
  </si>
  <si>
    <t>Доставка включена в стоимость заказа</t>
  </si>
  <si>
    <t>Доставку оплачивает клиент при получении</t>
  </si>
  <si>
    <t>Доставка до терминала</t>
  </si>
  <si>
    <t>Доставка до адреса заказчика</t>
  </si>
  <si>
    <t>Рекламация</t>
  </si>
  <si>
    <t>Условия оплаты по договору</t>
  </si>
  <si>
    <t>Вид сделки</t>
  </si>
  <si>
    <t>Наличный</t>
  </si>
  <si>
    <t>РСЧ (Мсити)</t>
  </si>
  <si>
    <t>ЭКВ (ИП)</t>
  </si>
  <si>
    <t>СБП (ИП)</t>
  </si>
  <si>
    <t>Рассрочка (ИП)</t>
  </si>
  <si>
    <t>Предоплата 100%</t>
  </si>
  <si>
    <t>Предоплата 30%/70% после получения</t>
  </si>
  <si>
    <t>Предоплата 30%/70% перед отгрузкой</t>
  </si>
  <si>
    <t>Предоплата 50%/50% после получения</t>
  </si>
  <si>
    <t>Предоплата 50%/50% перед отгрузкой</t>
  </si>
  <si>
    <t>Отсрочка 100%</t>
  </si>
  <si>
    <t>ЗАПОЛНИТЬ условия оплаты по договору</t>
  </si>
  <si>
    <t>ЗАПОЛНИТЬ УСЛОВИЯ ДОСТАВКИ</t>
  </si>
  <si>
    <t>ЗАПОЛНИТЬ БАЗИС ДОСТАВКИ</t>
  </si>
  <si>
    <t>Смешанный</t>
  </si>
  <si>
    <t>ЗАПОЛНИТЬ СПОСОБ ОПЛАТЫ</t>
  </si>
  <si>
    <t>ЗАПОЛНИТЬ ВИД СДЕЛКИ</t>
  </si>
  <si>
    <t>Планируемая дата завершения</t>
  </si>
  <si>
    <t>Дата заврешения сделки</t>
  </si>
  <si>
    <t>№ Заказа</t>
  </si>
  <si>
    <t>онлайн
/офлайн</t>
  </si>
  <si>
    <t>Сделка
закрыта</t>
  </si>
  <si>
    <t>Ориентир Прибыли</t>
  </si>
  <si>
    <t>Доставка
сборка</t>
  </si>
  <si>
    <t>УУ</t>
  </si>
  <si>
    <t>Предоплата 70%/30% после получения</t>
  </si>
  <si>
    <t>РСЧ (ИП Козловский А.В.)</t>
  </si>
  <si>
    <t>30/70</t>
  </si>
  <si>
    <t>50/50</t>
  </si>
  <si>
    <t>70/30</t>
  </si>
  <si>
    <t>Габариты груза</t>
  </si>
  <si>
    <t>вес</t>
  </si>
  <si>
    <t>объем</t>
  </si>
  <si>
    <t>НДС</t>
  </si>
  <si>
    <t>Онлайн с сайта</t>
  </si>
  <si>
    <t>В2В</t>
  </si>
  <si>
    <t>МАЯК</t>
  </si>
  <si>
    <t>Офлайн</t>
  </si>
  <si>
    <t>Сумма наценки на Услуги</t>
  </si>
  <si>
    <t>Налог на прибыль</t>
  </si>
  <si>
    <t>Каргин Юрий</t>
  </si>
  <si>
    <t>от оборота</t>
  </si>
  <si>
    <t>от прибыли</t>
  </si>
  <si>
    <t>Рентабельность сделки (Товар)</t>
  </si>
  <si>
    <t>Рентабельность сделки (Общая)</t>
  </si>
  <si>
    <t>Сумма НДС</t>
  </si>
  <si>
    <t>Без НДС</t>
  </si>
  <si>
    <t>Ставка НДС</t>
  </si>
  <si>
    <t>Комиссия платежных систем</t>
  </si>
  <si>
    <t>Комиссия Торговых площадок</t>
  </si>
  <si>
    <t>Поставщик/Город</t>
  </si>
  <si>
    <t>Налог НДС</t>
  </si>
  <si>
    <t>План НДС</t>
  </si>
  <si>
    <t>Факт НДС</t>
  </si>
  <si>
    <t>Фактические ДДС</t>
  </si>
  <si>
    <t>ЮЗ</t>
  </si>
  <si>
    <t>Зацепилова Юлия</t>
  </si>
  <si>
    <t>ЕР</t>
  </si>
  <si>
    <t>Рассказова Елена</t>
  </si>
  <si>
    <t>АЛ</t>
  </si>
  <si>
    <t>Лапшина Алена</t>
  </si>
  <si>
    <t>НП</t>
  </si>
  <si>
    <t>Петренко Надежда</t>
  </si>
  <si>
    <t>Прибыль до вычета ЗП Менеджера</t>
  </si>
  <si>
    <t>ЗП</t>
  </si>
  <si>
    <t>Стажировка</t>
  </si>
  <si>
    <t>СТ</t>
  </si>
  <si>
    <t>НДС Начисление</t>
  </si>
  <si>
    <t>НДС Возмещение</t>
  </si>
  <si>
    <t>Версия 31.05.2025 МСК</t>
  </si>
  <si>
    <t>Доставка</t>
  </si>
  <si>
    <t>Сборка</t>
  </si>
  <si>
    <t>Номер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</si>
</sst>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dd/mm/yy;@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166" fontId="2" fillId="0" borderId="1" xfId="1" applyNumberFormat="1" applyFont="1" applyBorder="1" applyProtection="1"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3" fontId="6" fillId="0" borderId="4" xfId="0" applyNumberFormat="1" applyFont="1" applyBorder="1" applyAlignment="1" applyProtection="1">
      <alignment vertical="center"/>
      <protection locked="0"/>
    </xf>
    <xf numFmtId="0" fontId="7" fillId="0" borderId="0" xfId="4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4" fontId="2" fillId="3" borderId="1" xfId="0" applyNumberFormat="1" applyFont="1" applyFill="1" applyBorder="1" applyProtection="1">
      <protection locked="0"/>
    </xf>
    <xf numFmtId="4" fontId="2" fillId="3" borderId="1" xfId="0" applyNumberFormat="1" applyFont="1" applyFill="1" applyBorder="1" applyAlignment="1" applyProtection="1">
      <alignment wrapText="1"/>
      <protection hidden="1"/>
    </xf>
    <xf numFmtId="4" fontId="2" fillId="0" borderId="1" xfId="0" applyNumberFormat="1" applyFont="1" applyBorder="1" applyProtection="1">
      <protection hidden="1"/>
    </xf>
    <xf numFmtId="0" fontId="0" fillId="0" borderId="0" xfId="0" applyProtection="1">
      <protection hidden="1"/>
    </xf>
    <xf numFmtId="4" fontId="0" fillId="0" borderId="1" xfId="0" applyNumberFormat="1" applyBorder="1" applyAlignment="1" applyProtection="1">
      <alignment wrapText="1"/>
      <protection hidden="1"/>
    </xf>
    <xf numFmtId="4" fontId="0" fillId="0" borderId="1" xfId="0" applyNumberFormat="1" applyBorder="1" applyProtection="1">
      <protection hidden="1"/>
    </xf>
    <xf numFmtId="4" fontId="0" fillId="0" borderId="0" xfId="0" applyNumberFormat="1" applyProtection="1">
      <protection hidden="1"/>
    </xf>
    <xf numFmtId="4" fontId="2" fillId="0" borderId="1" xfId="0" applyNumberFormat="1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164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1" xfId="0" applyNumberFormat="1" applyFont="1" applyFill="1" applyBorder="1" applyAlignment="1" applyProtection="1">
      <alignment horizontal="center" vertical="center"/>
      <protection hidden="1"/>
    </xf>
    <xf numFmtId="165" fontId="2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left" wrapText="1"/>
      <protection hidden="1"/>
    </xf>
    <xf numFmtId="165" fontId="0" fillId="0" borderId="1" xfId="0" applyNumberFormat="1" applyBorder="1" applyProtection="1">
      <protection hidden="1"/>
    </xf>
    <xf numFmtId="4" fontId="2" fillId="3" borderId="1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wrapText="1"/>
      <protection hidden="1"/>
    </xf>
    <xf numFmtId="4" fontId="2" fillId="3" borderId="1" xfId="0" applyNumberFormat="1" applyFont="1" applyFill="1" applyBorder="1" applyProtection="1">
      <protection hidden="1"/>
    </xf>
    <xf numFmtId="165" fontId="0" fillId="3" borderId="1" xfId="0" applyNumberFormat="1" applyFill="1" applyBorder="1" applyProtection="1">
      <protection hidden="1"/>
    </xf>
    <xf numFmtId="4" fontId="0" fillId="3" borderId="1" xfId="0" applyNumberFormat="1" applyFill="1" applyBorder="1" applyProtection="1">
      <protection hidden="1"/>
    </xf>
    <xf numFmtId="16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1" fillId="5" borderId="2" xfId="0" applyFont="1" applyFill="1" applyBorder="1" applyAlignment="1" applyProtection="1">
      <alignment horizontal="center" vertical="center"/>
      <protection hidden="1"/>
    </xf>
    <xf numFmtId="0" fontId="11" fillId="5" borderId="2" xfId="0" applyFont="1" applyFill="1" applyBorder="1" applyAlignment="1" applyProtection="1">
      <alignment horizontal="center" vertical="center" wrapText="1"/>
      <protection hidden="1"/>
    </xf>
    <xf numFmtId="4" fontId="11" fillId="5" borderId="2" xfId="0" applyNumberFormat="1" applyFont="1" applyFill="1" applyBorder="1" applyAlignment="1" applyProtection="1">
      <alignment horizontal="center" vertical="center" wrapText="1"/>
      <protection hidden="1"/>
    </xf>
    <xf numFmtId="4" fontId="11" fillId="5" borderId="2" xfId="0" applyNumberFormat="1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165" fontId="0" fillId="0" borderId="1" xfId="0" applyNumberFormat="1" applyBorder="1" applyAlignment="1" applyProtection="1">
      <alignment wrapText="1"/>
      <protection hidden="1"/>
    </xf>
    <xf numFmtId="14" fontId="0" fillId="0" borderId="1" xfId="0" applyNumberFormat="1" applyBorder="1" applyProtection="1">
      <protection hidden="1"/>
    </xf>
    <xf numFmtId="0" fontId="0" fillId="0" borderId="9" xfId="0" applyBorder="1" applyAlignment="1" applyProtection="1">
      <alignment wrapText="1"/>
      <protection hidden="1"/>
    </xf>
    <xf numFmtId="0" fontId="0" fillId="0" borderId="9" xfId="0" applyBorder="1" applyProtection="1">
      <protection hidden="1"/>
    </xf>
    <xf numFmtId="4" fontId="0" fillId="0" borderId="9" xfId="0" applyNumberFormat="1" applyBorder="1" applyProtection="1">
      <protection hidden="1"/>
    </xf>
    <xf numFmtId="9" fontId="0" fillId="0" borderId="0" xfId="0" applyNumberFormat="1" applyProtection="1">
      <protection hidden="1"/>
    </xf>
    <xf numFmtId="10" fontId="0" fillId="0" borderId="0" xfId="0" applyNumberFormat="1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0" fillId="0" borderId="4" xfId="0" applyBorder="1" applyAlignment="1" applyProtection="1">
      <alignment vertical="center" wrapText="1"/>
      <protection locked="0"/>
    </xf>
    <xf numFmtId="4" fontId="2" fillId="6" borderId="1" xfId="0" applyNumberFormat="1" applyFont="1" applyFill="1" applyBorder="1" applyProtection="1">
      <protection hidden="1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2" fillId="2" borderId="1" xfId="0" applyNumberFormat="1" applyFont="1" applyFill="1" applyBorder="1" applyProtection="1">
      <protection locked="0"/>
    </xf>
    <xf numFmtId="4" fontId="8" fillId="2" borderId="1" xfId="0" applyNumberFormat="1" applyFont="1" applyFill="1" applyBorder="1" applyProtection="1">
      <protection hidden="1"/>
    </xf>
    <xf numFmtId="0" fontId="0" fillId="2" borderId="1" xfId="0" applyFill="1" applyBorder="1" applyAlignment="1" applyProtection="1">
      <alignment horizontal="center" wrapText="1"/>
      <protection locked="0"/>
    </xf>
    <xf numFmtId="9" fontId="0" fillId="0" borderId="1" xfId="0" applyNumberFormat="1" applyBorder="1" applyProtection="1">
      <protection hidden="1"/>
    </xf>
    <xf numFmtId="14" fontId="2" fillId="0" borderId="0" xfId="1" applyNumberFormat="1" applyFont="1" applyFill="1" applyBorder="1" applyProtection="1">
      <protection locked="0"/>
    </xf>
    <xf numFmtId="14" fontId="2" fillId="3" borderId="1" xfId="1" applyNumberFormat="1" applyFont="1" applyFill="1" applyBorder="1" applyProtection="1">
      <protection locked="0"/>
    </xf>
    <xf numFmtId="4" fontId="2" fillId="3" borderId="1" xfId="1" applyNumberFormat="1" applyFont="1" applyFill="1" applyBorder="1" applyProtection="1">
      <protection locked="0"/>
    </xf>
    <xf numFmtId="9" fontId="2" fillId="0" borderId="1" xfId="0" applyNumberFormat="1" applyFont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Protection="1">
      <protection hidden="1"/>
    </xf>
    <xf numFmtId="3" fontId="6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4" fontId="2" fillId="0" borderId="0" xfId="0" applyNumberFormat="1" applyFont="1" applyAlignment="1" applyProtection="1">
      <alignment wrapText="1"/>
      <protection hidden="1"/>
    </xf>
    <xf numFmtId="4" fontId="2" fillId="0" borderId="0" xfId="0" applyNumberFormat="1" applyFont="1" applyProtection="1">
      <protection hidden="1"/>
    </xf>
    <xf numFmtId="0" fontId="2" fillId="4" borderId="1" xfId="0" applyFont="1" applyFill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4" fontId="13" fillId="0" borderId="1" xfId="0" applyNumberFormat="1" applyFont="1" applyBorder="1" applyProtection="1">
      <protection hidden="1"/>
    </xf>
    <xf numFmtId="4" fontId="12" fillId="0" borderId="1" xfId="0" applyNumberFormat="1" applyFont="1" applyBorder="1" applyAlignment="1" applyProtection="1">
      <alignment wrapText="1"/>
      <protection locked="0"/>
    </xf>
    <xf numFmtId="4" fontId="13" fillId="0" borderId="1" xfId="0" applyNumberFormat="1" applyFont="1" applyBorder="1" applyAlignment="1" applyProtection="1">
      <alignment wrapText="1"/>
      <protection hidden="1"/>
    </xf>
    <xf numFmtId="4" fontId="2" fillId="2" borderId="1" xfId="0" applyNumberFormat="1" applyFont="1" applyFill="1" applyBorder="1" applyProtection="1">
      <protection hidden="1"/>
    </xf>
    <xf numFmtId="4" fontId="0" fillId="2" borderId="1" xfId="0" applyNumberFormat="1" applyFill="1" applyBorder="1" applyAlignment="1" applyProtection="1">
      <alignment horizontal="center"/>
      <protection hidden="1"/>
    </xf>
    <xf numFmtId="1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vertical="center" wrapText="1"/>
      <protection locked="0"/>
    </xf>
    <xf numFmtId="0" fontId="4" fillId="0" borderId="1" xfId="0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4" fontId="8" fillId="0" borderId="1" xfId="0" applyNumberFormat="1" applyFont="1" applyBorder="1" applyProtection="1">
      <protection locked="0"/>
    </xf>
    <xf numFmtId="9" fontId="4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3" fillId="0" borderId="1" xfId="3" applyFont="1" applyBorder="1" applyAlignment="1" applyProtection="1">
      <alignment horizontal="left" vertical="center" wrapText="1"/>
      <protection locked="0"/>
    </xf>
    <xf numFmtId="0" fontId="3" fillId="0" borderId="1" xfId="2" applyFont="1" applyBorder="1" applyAlignment="1" applyProtection="1">
      <alignment wrapText="1"/>
      <protection locked="0"/>
    </xf>
    <xf numFmtId="0" fontId="14" fillId="0" borderId="1" xfId="2" applyFont="1" applyBorder="1" applyAlignment="1" applyProtection="1">
      <alignment horizontal="right" vertical="center" wrapText="1"/>
      <protection locked="0"/>
    </xf>
    <xf numFmtId="0" fontId="3" fillId="0" borderId="1" xfId="2" applyFont="1" applyBorder="1" applyAlignment="1" applyProtection="1">
      <alignment horizontal="right" wrapText="1"/>
      <protection locked="0"/>
    </xf>
    <xf numFmtId="0" fontId="0" fillId="3" borderId="3" xfId="0" applyFill="1" applyBorder="1" applyAlignment="1" applyProtection="1">
      <alignment horizontal="center" wrapText="1"/>
      <protection hidden="1"/>
    </xf>
    <xf numFmtId="0" fontId="2" fillId="3" borderId="1" xfId="0" applyFont="1" applyFill="1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164" fontId="2" fillId="3" borderId="6" xfId="0" applyNumberFormat="1" applyFont="1" applyFill="1" applyBorder="1" applyAlignment="1" applyProtection="1">
      <alignment horizontal="right" vertical="center" wrapText="1"/>
      <protection hidden="1"/>
    </xf>
    <xf numFmtId="164" fontId="2" fillId="3" borderId="8" xfId="0" applyNumberFormat="1" applyFont="1" applyFill="1" applyBorder="1" applyAlignment="1" applyProtection="1">
      <alignment horizontal="right" vertical="center" wrapText="1"/>
      <protection hidden="1"/>
    </xf>
    <xf numFmtId="164" fontId="2" fillId="3" borderId="7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4" fontId="0" fillId="0" borderId="6" xfId="0" applyNumberFormat="1" applyBorder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hidden="1"/>
    </xf>
    <xf numFmtId="14" fontId="2" fillId="4" borderId="1" xfId="0" applyNumberFormat="1" applyFont="1" applyFill="1" applyBorder="1" applyAlignment="1" applyProtection="1">
      <alignment horizontal="center" vertical="center"/>
      <protection hidden="1"/>
    </xf>
    <xf numFmtId="4" fontId="2" fillId="0" borderId="6" xfId="0" applyNumberFormat="1" applyFont="1" applyBorder="1" applyAlignment="1" applyProtection="1">
      <alignment horizontal="center"/>
      <protection hidden="1"/>
    </xf>
    <xf numFmtId="4" fontId="2" fillId="0" borderId="8" xfId="0" applyNumberFormat="1" applyFont="1" applyBorder="1" applyAlignment="1" applyProtection="1">
      <alignment horizontal="center"/>
      <protection hidden="1"/>
    </xf>
    <xf numFmtId="4" fontId="2" fillId="0" borderId="7" xfId="0" applyNumberFormat="1" applyFont="1" applyBorder="1" applyAlignment="1" applyProtection="1">
      <alignment horizontal="center"/>
      <protection hidden="1"/>
    </xf>
  </cellXfs>
  <cellStyles count="5">
    <cellStyle name="Гиперссылка" xfId="4" builtinId="8"/>
    <cellStyle name="Обычный" xfId="0" builtinId="0"/>
    <cellStyle name="Обычный 4" xfId="2" xr:uid="{00000000-0005-0000-0000-000002000000}"/>
    <cellStyle name="Обычный 7" xfId="3" xr:uid="{00000000-0005-0000-0000-000003000000}"/>
    <cellStyle name="Процентный" xfId="1" builtinId="5"/>
  </cellStyles>
  <dxfs count="22">
    <dxf>
      <font>
        <b/>
        <i val="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1">
            <color theme="9" tint="0.80001220740379042"/>
          </stop>
        </gradient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theme="4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L154"/>
  <sheetViews>
    <sheetView tabSelected="1" zoomScale="85" zoomScaleNormal="85" workbookViewId="0">
      <selection activeCell="I26" sqref="I26"/>
    </sheetView>
  </sheetViews>
  <sheetFormatPr baseColWidth="10" defaultColWidth="9.1640625" defaultRowHeight="15" outlineLevelRow="1" x14ac:dyDescent="0.2"/>
  <cols>
    <col min="1" max="1" width="14.33203125" style="2" customWidth="1"/>
    <col min="2" max="2" width="57" style="11" customWidth="1"/>
    <col min="3" max="3" width="13" style="2" customWidth="1"/>
    <col min="4" max="4" width="31.83203125" style="8" customWidth="1"/>
    <col min="5" max="5" width="17.1640625" style="8" customWidth="1"/>
    <col min="6" max="6" width="18.33203125" style="2" customWidth="1"/>
    <col min="7" max="7" width="14.6640625" style="2" bestFit="1" customWidth="1"/>
    <col min="8" max="8" width="12.83203125" style="2" customWidth="1"/>
    <col min="9" max="9" width="19.1640625" style="2" bestFit="1" customWidth="1"/>
    <col min="10" max="10" width="11.6640625" style="2" bestFit="1" customWidth="1"/>
    <col min="11" max="11" width="14.6640625" style="2" customWidth="1"/>
    <col min="12" max="12" width="14.1640625" style="2" customWidth="1"/>
    <col min="13" max="16384" width="9.1640625" style="2"/>
  </cols>
  <sheetData>
    <row r="1" spans="1:12" x14ac:dyDescent="0.2">
      <c r="A1" s="6" t="s">
        <v>112</v>
      </c>
      <c r="B1" s="7" t="s">
        <v>105</v>
      </c>
      <c r="D1" s="18" t="str">
        <f>B101</f>
        <v>Версия 31.05.2025 МСК</v>
      </c>
    </row>
    <row r="2" spans="1:12" s="3" customFormat="1" x14ac:dyDescent="0.2">
      <c r="B2" s="100" t="s">
        <v>0</v>
      </c>
      <c r="C2" s="100"/>
      <c r="D2" s="100"/>
      <c r="E2" s="100"/>
      <c r="F2" s="100"/>
      <c r="G2" s="100"/>
      <c r="I2" s="101" t="s">
        <v>30</v>
      </c>
      <c r="J2" s="101"/>
      <c r="K2" s="101" t="s">
        <v>70</v>
      </c>
      <c r="L2" s="101"/>
    </row>
    <row r="3" spans="1:12" ht="16" x14ac:dyDescent="0.2">
      <c r="B3" s="55" t="s">
        <v>1</v>
      </c>
      <c r="C3" s="9" t="s">
        <v>2</v>
      </c>
      <c r="D3" s="52" t="s">
        <v>3</v>
      </c>
      <c r="E3" s="52" t="s">
        <v>4</v>
      </c>
      <c r="F3" s="52" t="s">
        <v>85</v>
      </c>
      <c r="G3" s="52" t="s">
        <v>87</v>
      </c>
      <c r="I3" s="9" t="s">
        <v>90</v>
      </c>
      <c r="J3" s="9" t="s">
        <v>4</v>
      </c>
      <c r="K3" s="9" t="s">
        <v>71</v>
      </c>
      <c r="L3" s="9" t="s">
        <v>72</v>
      </c>
    </row>
    <row r="4" spans="1:12" x14ac:dyDescent="0.2">
      <c r="A4" s="2">
        <v>1</v>
      </c>
      <c r="B4" s="79"/>
      <c r="C4" s="80"/>
      <c r="D4" s="81"/>
      <c r="E4" s="81">
        <f>D4*C4</f>
        <v>0</v>
      </c>
      <c r="F4" s="82">
        <f>E4-(E4/(SUMIF($H$115:$H$119,G4,$I$115:$I$119)+1))</f>
        <v>0</v>
      </c>
      <c r="G4" s="83"/>
      <c r="I4" s="84"/>
      <c r="J4" s="85">
        <v>0</v>
      </c>
      <c r="K4" s="85">
        <f>C4*13</f>
        <v>0</v>
      </c>
      <c r="L4" s="85">
        <f>C4*0.03</f>
        <v>0</v>
      </c>
    </row>
    <row r="5" spans="1:12" x14ac:dyDescent="0.2">
      <c r="A5" s="2">
        <f>A4+1</f>
        <v>2</v>
      </c>
      <c r="B5" s="79"/>
      <c r="C5" s="80"/>
      <c r="D5" s="81"/>
      <c r="E5" s="81">
        <f t="shared" ref="E5:E12" si="0">D5*C5</f>
        <v>0</v>
      </c>
      <c r="F5" s="82">
        <f>E5-(E5/(SUMIF($H$115:$H$119,G5,$I$115:$I$119)+1))</f>
        <v>0</v>
      </c>
      <c r="G5" s="83"/>
      <c r="I5" s="84"/>
      <c r="J5" s="85">
        <v>0</v>
      </c>
      <c r="K5" s="85">
        <f>C5*32</f>
        <v>0</v>
      </c>
      <c r="L5" s="85">
        <f>C5*0.05</f>
        <v>0</v>
      </c>
    </row>
    <row r="6" spans="1:12" x14ac:dyDescent="0.2">
      <c r="A6" s="2">
        <f t="shared" ref="A6:A10" si="1">A5+1</f>
        <v>3</v>
      </c>
      <c r="B6" s="86"/>
      <c r="C6" s="80"/>
      <c r="D6" s="81"/>
      <c r="E6" s="81">
        <f t="shared" si="0"/>
        <v>0</v>
      </c>
      <c r="F6" s="82">
        <f>E6-(E6/(SUMIF($H$115:$H$119,G6,$I$115:$I$119)+1))</f>
        <v>0</v>
      </c>
      <c r="G6" s="83"/>
      <c r="I6" s="84"/>
      <c r="J6" s="85">
        <v>0</v>
      </c>
      <c r="K6" s="85">
        <f>C6*0</f>
        <v>0</v>
      </c>
      <c r="L6" s="85">
        <f>C6*0</f>
        <v>0</v>
      </c>
    </row>
    <row r="7" spans="1:12" x14ac:dyDescent="0.2">
      <c r="A7" s="2">
        <f t="shared" si="1"/>
        <v>4</v>
      </c>
      <c r="B7" s="86"/>
      <c r="C7" s="80"/>
      <c r="D7" s="81"/>
      <c r="E7" s="81">
        <f t="shared" ref="E7" si="2">D7*C7</f>
        <v>0</v>
      </c>
      <c r="F7" s="82">
        <f>E7-(E7/(SUMIF($H$115:$H$119,G7,$I$115:$I$119)+1))</f>
        <v>0</v>
      </c>
      <c r="G7" s="83"/>
      <c r="I7" s="84"/>
      <c r="J7" s="85"/>
      <c r="K7" s="85">
        <f>C7*0</f>
        <v>0</v>
      </c>
      <c r="L7" s="85">
        <f>C7*0</f>
        <v>0</v>
      </c>
    </row>
    <row r="8" spans="1:12" x14ac:dyDescent="0.2">
      <c r="A8" s="2">
        <f t="shared" si="1"/>
        <v>5</v>
      </c>
      <c r="B8" s="86"/>
      <c r="C8" s="80"/>
      <c r="D8" s="81"/>
      <c r="E8" s="81">
        <f t="shared" ref="E8:E10" si="3">D8*C8</f>
        <v>0</v>
      </c>
      <c r="F8" s="82">
        <f t="shared" ref="F8:F10" si="4">E8-(E8/(SUMIF($H$115:$H$119,G8,$I$115:$I$119)+1))</f>
        <v>0</v>
      </c>
      <c r="G8" s="83"/>
      <c r="I8" s="84"/>
      <c r="J8" s="85"/>
      <c r="K8" s="85">
        <f>C8*67</f>
        <v>0</v>
      </c>
      <c r="L8" s="85">
        <f>C8*0.6</f>
        <v>0</v>
      </c>
    </row>
    <row r="9" spans="1:12" x14ac:dyDescent="0.2">
      <c r="A9" s="2">
        <f t="shared" si="1"/>
        <v>6</v>
      </c>
      <c r="B9" s="86"/>
      <c r="C9" s="80"/>
      <c r="D9" s="81"/>
      <c r="E9" s="81">
        <f t="shared" si="3"/>
        <v>0</v>
      </c>
      <c r="F9" s="82">
        <f t="shared" si="4"/>
        <v>0</v>
      </c>
      <c r="G9" s="83"/>
      <c r="I9" s="84"/>
      <c r="J9" s="85"/>
      <c r="K9" s="85">
        <f>C9*38</f>
        <v>0</v>
      </c>
      <c r="L9" s="85">
        <f>C9*0.05</f>
        <v>0</v>
      </c>
    </row>
    <row r="10" spans="1:12" x14ac:dyDescent="0.2">
      <c r="A10" s="2">
        <f t="shared" si="1"/>
        <v>7</v>
      </c>
      <c r="B10" s="86"/>
      <c r="C10" s="80"/>
      <c r="D10" s="81"/>
      <c r="E10" s="81">
        <f t="shared" si="3"/>
        <v>0</v>
      </c>
      <c r="F10" s="82">
        <f t="shared" si="4"/>
        <v>0</v>
      </c>
      <c r="G10" s="83"/>
      <c r="I10" s="84"/>
      <c r="J10" s="85"/>
      <c r="K10" s="85">
        <f>C10*30</f>
        <v>0</v>
      </c>
      <c r="L10" s="85">
        <f>C10*0.05</f>
        <v>0</v>
      </c>
    </row>
    <row r="11" spans="1:12" x14ac:dyDescent="0.2">
      <c r="B11" s="79"/>
      <c r="C11" s="80"/>
      <c r="D11" s="81"/>
      <c r="E11" s="81">
        <f t="shared" si="0"/>
        <v>0</v>
      </c>
      <c r="F11" s="82">
        <f>E11-(E11/(SUMIF($H$115:$H$119,G11,$I$115:$I$119)+1))</f>
        <v>0</v>
      </c>
      <c r="G11" s="83"/>
      <c r="I11" s="84"/>
      <c r="J11" s="85"/>
      <c r="K11" s="85">
        <f t="shared" ref="K11:K12" si="5">C11*1</f>
        <v>0</v>
      </c>
      <c r="L11" s="85">
        <f t="shared" ref="L11:L12" si="6">C11*1</f>
        <v>0</v>
      </c>
    </row>
    <row r="12" spans="1:12" x14ac:dyDescent="0.2">
      <c r="B12" s="86"/>
      <c r="C12" s="80"/>
      <c r="D12" s="81"/>
      <c r="E12" s="81">
        <f t="shared" si="0"/>
        <v>0</v>
      </c>
      <c r="F12" s="82">
        <f>E12-(E12/(SUMIF($H$115:$H$119,G12,$I$115:$I$119)+1))</f>
        <v>0</v>
      </c>
      <c r="G12" s="83"/>
      <c r="I12" s="84"/>
      <c r="J12" s="85"/>
      <c r="K12" s="85">
        <f t="shared" si="5"/>
        <v>0</v>
      </c>
      <c r="L12" s="85">
        <f t="shared" si="6"/>
        <v>0</v>
      </c>
    </row>
    <row r="13" spans="1:12" ht="17" x14ac:dyDescent="0.2">
      <c r="B13" s="103" t="s">
        <v>6</v>
      </c>
      <c r="C13" s="103"/>
      <c r="D13" s="103"/>
      <c r="E13" s="75">
        <f>SUM(E4:E12)</f>
        <v>0</v>
      </c>
      <c r="F13" s="75">
        <f>IF(B31=B118,SUM(F4:F12),0)</f>
        <v>0</v>
      </c>
      <c r="G13" s="53"/>
      <c r="I13" s="73" t="s">
        <v>6</v>
      </c>
      <c r="J13" s="74">
        <f>SUM(J4:J12)</f>
        <v>0</v>
      </c>
      <c r="K13" s="72">
        <f>SUM(K4:K12)</f>
        <v>0</v>
      </c>
      <c r="L13" s="72">
        <f>SUM(L4:L12)</f>
        <v>0</v>
      </c>
    </row>
    <row r="14" spans="1:12" s="3" customFormat="1" x14ac:dyDescent="0.2">
      <c r="B14" s="106" t="s">
        <v>5</v>
      </c>
      <c r="C14" s="106"/>
      <c r="D14" s="106"/>
      <c r="E14" s="106"/>
      <c r="F14" s="106"/>
      <c r="G14" s="106"/>
      <c r="H14" s="64"/>
      <c r="I14" s="4"/>
      <c r="K14" s="78"/>
      <c r="L14" s="78"/>
    </row>
    <row r="15" spans="1:12" ht="16" x14ac:dyDescent="0.2">
      <c r="B15" s="55" t="s">
        <v>1</v>
      </c>
      <c r="C15" s="9" t="s">
        <v>2</v>
      </c>
      <c r="D15" s="52" t="s">
        <v>3</v>
      </c>
      <c r="E15" s="76" t="s">
        <v>4</v>
      </c>
      <c r="F15" s="76" t="s">
        <v>73</v>
      </c>
      <c r="G15" s="52" t="s">
        <v>87</v>
      </c>
    </row>
    <row r="16" spans="1:12" ht="29" x14ac:dyDescent="0.2">
      <c r="A16" s="2">
        <v>1</v>
      </c>
      <c r="B16" s="87">
        <f t="shared" ref="B16:C18" si="7">B4</f>
        <v>0</v>
      </c>
      <c r="C16" s="80">
        <f>C4</f>
        <v>0</v>
      </c>
      <c r="D16" s="81">
        <v>0</v>
      </c>
      <c r="E16" s="81">
        <f>D16*C16</f>
        <v>0</v>
      </c>
      <c r="F16" s="82">
        <f t="shared" ref="F16:F22" si="8">E16-(E16/(SUMIF($H$115:$H$119,G16,$I$115:$I$119)+1))</f>
        <v>0</v>
      </c>
      <c r="G16" s="83"/>
      <c r="H16" s="77"/>
      <c r="I16" s="77">
        <f>E24-J16</f>
        <v>0</v>
      </c>
      <c r="J16" s="8">
        <f>SUM(J4:J12)</f>
        <v>0</v>
      </c>
    </row>
    <row r="17" spans="1:9" ht="29" x14ac:dyDescent="0.2">
      <c r="A17" s="2">
        <f>A16+1</f>
        <v>2</v>
      </c>
      <c r="B17" s="87">
        <f t="shared" si="7"/>
        <v>0</v>
      </c>
      <c r="C17" s="80">
        <f>C5</f>
        <v>0</v>
      </c>
      <c r="D17" s="81">
        <v>0</v>
      </c>
      <c r="E17" s="81">
        <f t="shared" ref="E17:E18" si="9">D17*C17</f>
        <v>0</v>
      </c>
      <c r="F17" s="82">
        <f t="shared" si="8"/>
        <v>0</v>
      </c>
      <c r="G17" s="83"/>
      <c r="H17" s="77"/>
      <c r="I17" s="77"/>
    </row>
    <row r="18" spans="1:9" x14ac:dyDescent="0.2">
      <c r="A18" s="2">
        <f t="shared" ref="A18:A21" si="10">A17+1</f>
        <v>3</v>
      </c>
      <c r="B18" s="87">
        <f t="shared" si="7"/>
        <v>0</v>
      </c>
      <c r="C18" s="80">
        <f t="shared" si="7"/>
        <v>0</v>
      </c>
      <c r="D18" s="81"/>
      <c r="E18" s="81">
        <f t="shared" si="9"/>
        <v>0</v>
      </c>
      <c r="F18" s="82">
        <f t="shared" si="8"/>
        <v>0</v>
      </c>
      <c r="G18" s="83"/>
      <c r="H18" s="77"/>
      <c r="I18" s="77"/>
    </row>
    <row r="19" spans="1:9" x14ac:dyDescent="0.2">
      <c r="A19" s="2">
        <f t="shared" si="10"/>
        <v>4</v>
      </c>
      <c r="B19" s="87">
        <f t="shared" ref="B19:C19" si="11">B7</f>
        <v>0</v>
      </c>
      <c r="C19" s="80">
        <f t="shared" si="11"/>
        <v>0</v>
      </c>
      <c r="D19" s="81"/>
      <c r="E19" s="81">
        <f t="shared" ref="E19" si="12">D19*C19</f>
        <v>0</v>
      </c>
      <c r="F19" s="82">
        <f t="shared" si="8"/>
        <v>0</v>
      </c>
      <c r="G19" s="83"/>
      <c r="H19" s="77"/>
      <c r="I19" s="77"/>
    </row>
    <row r="20" spans="1:9" x14ac:dyDescent="0.2">
      <c r="A20" s="2">
        <f t="shared" si="10"/>
        <v>5</v>
      </c>
      <c r="B20" s="87">
        <f t="shared" ref="B20:C20" si="13">B8</f>
        <v>0</v>
      </c>
      <c r="C20" s="80">
        <f t="shared" si="13"/>
        <v>0</v>
      </c>
      <c r="D20" s="81"/>
      <c r="E20" s="81">
        <f t="shared" ref="E20:E22" si="14">D20*C20</f>
        <v>0</v>
      </c>
      <c r="F20" s="82">
        <f t="shared" si="8"/>
        <v>0</v>
      </c>
      <c r="G20" s="83"/>
      <c r="H20" s="77"/>
      <c r="I20" s="77"/>
    </row>
    <row r="21" spans="1:9" x14ac:dyDescent="0.2">
      <c r="A21" s="2">
        <f t="shared" si="10"/>
        <v>6</v>
      </c>
      <c r="B21" s="87">
        <f t="shared" ref="B21:C21" si="15">B9</f>
        <v>0</v>
      </c>
      <c r="C21" s="80">
        <f t="shared" si="15"/>
        <v>0</v>
      </c>
      <c r="D21" s="81"/>
      <c r="E21" s="81">
        <f t="shared" si="14"/>
        <v>0</v>
      </c>
      <c r="F21" s="82">
        <f t="shared" si="8"/>
        <v>0</v>
      </c>
      <c r="G21" s="83"/>
      <c r="H21" s="77"/>
      <c r="I21" s="77"/>
    </row>
    <row r="22" spans="1:9" x14ac:dyDescent="0.2">
      <c r="A22" s="2">
        <f>A21+1</f>
        <v>7</v>
      </c>
      <c r="B22" s="87">
        <f t="shared" ref="B22:C22" si="16">B10</f>
        <v>0</v>
      </c>
      <c r="C22" s="80">
        <f t="shared" si="16"/>
        <v>0</v>
      </c>
      <c r="D22" s="81"/>
      <c r="E22" s="81">
        <f t="shared" si="14"/>
        <v>0</v>
      </c>
      <c r="F22" s="82">
        <f t="shared" si="8"/>
        <v>0</v>
      </c>
      <c r="G22" s="83"/>
      <c r="H22" s="77"/>
      <c r="I22" s="77"/>
    </row>
    <row r="23" spans="1:9" x14ac:dyDescent="0.2">
      <c r="B23" s="89" t="s">
        <v>111</v>
      </c>
      <c r="C23" s="80"/>
      <c r="D23" s="81"/>
      <c r="E23" s="81">
        <v>0</v>
      </c>
      <c r="F23" s="82"/>
      <c r="G23" s="83"/>
      <c r="H23" s="77"/>
      <c r="I23" s="77"/>
    </row>
    <row r="24" spans="1:9" x14ac:dyDescent="0.2">
      <c r="B24" s="88" t="s">
        <v>110</v>
      </c>
      <c r="C24" s="80"/>
      <c r="D24" s="81"/>
      <c r="E24" s="81">
        <f>J13*1.3</f>
        <v>0</v>
      </c>
      <c r="F24" s="82">
        <f>E24-(E24/(SUMIF($H$115:$H$119,G24,$I$115:$I$119)+1))</f>
        <v>0</v>
      </c>
      <c r="G24" s="83"/>
      <c r="H24" s="77"/>
      <c r="I24" s="77"/>
    </row>
    <row r="25" spans="1:9" x14ac:dyDescent="0.2">
      <c r="B25" s="104" t="str">
        <f>IF(B31=B118,"Цену за ед. нужно умножить на 1,25","Итого")</f>
        <v>Итого</v>
      </c>
      <c r="C25" s="104"/>
      <c r="D25" s="104"/>
      <c r="E25" s="54">
        <f>SUM(E16:E24)</f>
        <v>0</v>
      </c>
      <c r="F25" s="54">
        <f>E25-(E25/(SUMIF(D116:D123,B31,E116:E123)+1))</f>
        <v>0</v>
      </c>
      <c r="G25" s="54">
        <f>F25-(F25/(SUMIF(E116:E123,C31,F116:F123)+1))</f>
        <v>0</v>
      </c>
      <c r="H25" s="77"/>
      <c r="I25" s="77"/>
    </row>
    <row r="27" spans="1:9" ht="16" x14ac:dyDescent="0.2">
      <c r="B27" s="10" t="s">
        <v>33</v>
      </c>
      <c r="C27" s="65"/>
      <c r="D27" s="13" t="s">
        <v>29</v>
      </c>
      <c r="E27" s="14">
        <f>E13</f>
        <v>0</v>
      </c>
    </row>
    <row r="28" spans="1:9" ht="16" x14ac:dyDescent="0.2">
      <c r="B28" s="10" t="s">
        <v>36</v>
      </c>
      <c r="D28" s="13" t="s">
        <v>30</v>
      </c>
      <c r="E28" s="51">
        <f>J13</f>
        <v>0</v>
      </c>
      <c r="F28" s="5"/>
    </row>
    <row r="29" spans="1:9" ht="16" x14ac:dyDescent="0.2">
      <c r="B29" s="10" t="s">
        <v>45</v>
      </c>
      <c r="D29" s="13" t="s">
        <v>31</v>
      </c>
      <c r="E29" s="12">
        <v>0</v>
      </c>
    </row>
    <row r="30" spans="1:9" ht="16" x14ac:dyDescent="0.2">
      <c r="B30" s="50"/>
      <c r="D30" s="13" t="s">
        <v>32</v>
      </c>
      <c r="E30" s="12">
        <v>0</v>
      </c>
      <c r="H30" s="2" t="s">
        <v>7</v>
      </c>
    </row>
    <row r="31" spans="1:9" ht="16" x14ac:dyDescent="0.2">
      <c r="B31" s="62" t="s">
        <v>66</v>
      </c>
      <c r="D31" s="13" t="s">
        <v>78</v>
      </c>
      <c r="E31" s="59">
        <v>0</v>
      </c>
      <c r="F31" s="66" t="e">
        <f>(E31+E28)/E28-1</f>
        <v>#DIV/0!</v>
      </c>
      <c r="G31" s="67"/>
      <c r="H31" s="67"/>
    </row>
    <row r="32" spans="1:9" ht="15" customHeight="1" x14ac:dyDescent="0.2">
      <c r="B32" s="62" t="s">
        <v>74</v>
      </c>
      <c r="C32" s="65"/>
      <c r="D32" s="13" t="str">
        <f>"Оплата за заказ "&amp;B1</f>
        <v>Оплата за заказ Стажировка</v>
      </c>
      <c r="E32" s="14">
        <f>E25*SUMIF(B106:B110,B1,C106:C110)</f>
        <v>0</v>
      </c>
      <c r="F32" s="109"/>
      <c r="G32" s="109"/>
      <c r="H32" s="109"/>
    </row>
    <row r="33" spans="1:10" ht="16" x14ac:dyDescent="0.2">
      <c r="B33" s="107"/>
      <c r="D33" s="13" t="s">
        <v>83</v>
      </c>
      <c r="E33" s="1" t="e">
        <f>(E41-E31)/(E25-E28-E29-E30-E31)</f>
        <v>#DIV/0!</v>
      </c>
      <c r="F33" s="105" t="e">
        <f>IF(E33&lt;5%,"Очень низкая наценка на товар",IF(E33&gt;30%,"Отличная наценка на товар",IF(E33&lt;20%,"Недостаточная наценка на товар","Наценка на товар в норме")))</f>
        <v>#DIV/0!</v>
      </c>
      <c r="G33" s="105"/>
      <c r="H33" s="105"/>
    </row>
    <row r="34" spans="1:10" ht="16" x14ac:dyDescent="0.2">
      <c r="B34" s="108"/>
      <c r="D34" s="13" t="s">
        <v>84</v>
      </c>
      <c r="E34" s="1" t="e">
        <f>E41/E25</f>
        <v>#DIV/0!</v>
      </c>
      <c r="F34" s="105" t="e">
        <f>IF(E34&lt;5%,"СДЕЛКА НЕ РЕНТАБЕЛЬНА!!! ЗАПРЕЩЕНО ЗАПУСКАТЬ!",IF(E34&gt;30%,"Отличная сделка!!! Проверить расходы!",IF(E34&lt;19%,"Низкая рентабельность! Требует согласования!","Хорошая сделка! В пределах рентабельности!")))</f>
        <v>#DIV/0!</v>
      </c>
      <c r="G34" s="105"/>
      <c r="H34" s="105"/>
    </row>
    <row r="35" spans="1:10" ht="16" x14ac:dyDescent="0.2">
      <c r="B35" s="108"/>
      <c r="D35" s="13" t="s">
        <v>57</v>
      </c>
      <c r="E35" s="58">
        <v>46157</v>
      </c>
      <c r="F35" s="105" t="str">
        <f>IF(E35&gt;0,"Спасибо!!!","Планируемая дата завешения сделки?")</f>
        <v>Спасибо!!!</v>
      </c>
      <c r="G35" s="105"/>
      <c r="H35" s="105"/>
    </row>
    <row r="36" spans="1:10" x14ac:dyDescent="0.2">
      <c r="B36" s="108"/>
      <c r="D36" s="68"/>
      <c r="E36" s="57"/>
      <c r="F36" s="67"/>
      <c r="G36" s="67"/>
      <c r="H36" s="67"/>
    </row>
    <row r="37" spans="1:10" s="15" customFormat="1" ht="16" hidden="1" outlineLevel="1" x14ac:dyDescent="0.2">
      <c r="D37" s="16" t="s">
        <v>88</v>
      </c>
      <c r="E37" s="17">
        <f>E25*SUMIF(B115:B123,B31,C115:C123)</f>
        <v>0</v>
      </c>
    </row>
    <row r="38" spans="1:10" s="15" customFormat="1" ht="16" hidden="1" outlineLevel="1" x14ac:dyDescent="0.2">
      <c r="D38" s="16" t="s">
        <v>89</v>
      </c>
      <c r="E38" s="17">
        <f>E25*IF(B32=B144,A144,0)</f>
        <v>0</v>
      </c>
    </row>
    <row r="39" spans="1:10" s="15" customFormat="1" ht="16" hidden="1" outlineLevel="1" x14ac:dyDescent="0.2">
      <c r="D39" s="16" t="s">
        <v>91</v>
      </c>
      <c r="E39" s="17">
        <f>IF(C148&gt;=0,C148,0)</f>
        <v>0</v>
      </c>
      <c r="F39" s="60">
        <f>SUMIF($D$116:D123,B31,$E$116:$E$123)</f>
        <v>0.05</v>
      </c>
    </row>
    <row r="40" spans="1:10" s="15" customFormat="1" ht="16" hidden="1" outlineLevel="1" x14ac:dyDescent="0.2">
      <c r="D40" s="16" t="s">
        <v>79</v>
      </c>
      <c r="E40" s="17">
        <f>SUMIF($B$116:$B$123,$B$31,$A$116:$A$123)*(E25-E27-E28-E38-E37)</f>
        <v>0</v>
      </c>
      <c r="F40" s="60">
        <f>SUMIF($B$116:B123,B31,$A$116:$A$123)</f>
        <v>0.15</v>
      </c>
    </row>
    <row r="41" spans="1:10" s="15" customFormat="1" ht="16" hidden="1" outlineLevel="1" x14ac:dyDescent="0.2">
      <c r="B41" s="20"/>
      <c r="D41" s="19" t="s">
        <v>103</v>
      </c>
      <c r="E41" s="14">
        <f>E25-E27-E28-E29-E30-E37-E38-E40-E39</f>
        <v>0</v>
      </c>
      <c r="F41" s="66" t="e">
        <f>E41/E25</f>
        <v>#DIV/0!</v>
      </c>
    </row>
    <row r="42" spans="1:10" s="15" customFormat="1" ht="16" hidden="1" outlineLevel="1" x14ac:dyDescent="0.2">
      <c r="B42" s="20"/>
      <c r="D42" s="19" t="s">
        <v>28</v>
      </c>
      <c r="E42" s="14">
        <f>E41-E32</f>
        <v>0</v>
      </c>
      <c r="F42" s="66" t="e">
        <f>E42/E25</f>
        <v>#DIV/0!</v>
      </c>
    </row>
    <row r="43" spans="1:10" s="15" customFormat="1" hidden="1" outlineLevel="1" x14ac:dyDescent="0.2">
      <c r="B43" s="20"/>
      <c r="D43" s="68"/>
      <c r="E43" s="69"/>
    </row>
    <row r="44" spans="1:10" s="15" customFormat="1" hidden="1" outlineLevel="1" x14ac:dyDescent="0.2">
      <c r="B44" s="20"/>
      <c r="D44" s="18"/>
      <c r="E44" s="18"/>
    </row>
    <row r="45" spans="1:10" s="15" customFormat="1" hidden="1" outlineLevel="1" x14ac:dyDescent="0.2">
      <c r="B45" s="102" t="s">
        <v>94</v>
      </c>
      <c r="C45" s="102"/>
      <c r="D45" s="102"/>
      <c r="E45" s="102"/>
      <c r="F45" s="102"/>
      <c r="G45" s="102"/>
      <c r="H45" s="102"/>
      <c r="I45" s="102"/>
      <c r="J45" s="102"/>
    </row>
    <row r="46" spans="1:10" s="15" customFormat="1" hidden="1" outlineLevel="1" x14ac:dyDescent="0.2">
      <c r="B46" s="102"/>
      <c r="C46" s="102"/>
      <c r="D46" s="102"/>
      <c r="E46" s="102"/>
      <c r="F46" s="102"/>
      <c r="G46" s="102"/>
      <c r="H46" s="102"/>
      <c r="I46" s="102"/>
      <c r="J46" s="102"/>
    </row>
    <row r="47" spans="1:10" s="15" customFormat="1" ht="16" hidden="1" outlineLevel="1" x14ac:dyDescent="0.2">
      <c r="B47" s="21" t="s">
        <v>23</v>
      </c>
      <c r="C47" s="102" t="s">
        <v>9</v>
      </c>
      <c r="D47" s="102"/>
      <c r="E47" s="22" t="s">
        <v>10</v>
      </c>
      <c r="F47" s="23" t="s">
        <v>85</v>
      </c>
      <c r="G47" s="23" t="s">
        <v>87</v>
      </c>
      <c r="H47" s="23" t="s">
        <v>11</v>
      </c>
      <c r="I47" s="22" t="s">
        <v>12</v>
      </c>
      <c r="J47" s="22" t="s">
        <v>8</v>
      </c>
    </row>
    <row r="48" spans="1:10" s="15" customFormat="1" ht="16" hidden="1" outlineLevel="1" x14ac:dyDescent="0.2">
      <c r="A48" s="24"/>
      <c r="B48" s="25" t="str">
        <f>B31</f>
        <v>РСЧ (ИП Козловский А.В.)</v>
      </c>
      <c r="C48" s="92" t="str">
        <f>B48&amp;" "&amp;"№"&amp;A1</f>
        <v>РСЧ (ИП Козловский А.В.) №Номер заказа</v>
      </c>
      <c r="D48" s="92"/>
      <c r="E48" s="17">
        <f>E25</f>
        <v>0</v>
      </c>
      <c r="F48" s="63">
        <f t="shared" ref="F48:F53" si="17">E48-(E48/(SUMIF($H$115:$H$119,G48,$I$115:$I$119)+1))</f>
        <v>0</v>
      </c>
      <c r="G48" s="56">
        <v>0.05</v>
      </c>
      <c r="H48" s="26"/>
      <c r="I48" s="17"/>
      <c r="J48" s="17">
        <f t="shared" ref="J48:J54" si="18">E48-I48</f>
        <v>0</v>
      </c>
    </row>
    <row r="49" spans="1:10" s="15" customFormat="1" hidden="1" outlineLevel="1" x14ac:dyDescent="0.2">
      <c r="A49" s="24"/>
      <c r="B49" s="25"/>
      <c r="C49" s="99" t="str">
        <f>D37&amp;" "&amp;B31</f>
        <v>Комиссия платежных систем РСЧ (ИП Козловский А.В.)</v>
      </c>
      <c r="D49" s="94"/>
      <c r="E49" s="17">
        <f>-E37</f>
        <v>0</v>
      </c>
      <c r="F49" s="63">
        <f t="shared" si="17"/>
        <v>0</v>
      </c>
      <c r="G49" s="56"/>
      <c r="H49" s="26"/>
      <c r="I49" s="17"/>
      <c r="J49" s="17">
        <f t="shared" si="18"/>
        <v>0</v>
      </c>
    </row>
    <row r="50" spans="1:10" s="15" customFormat="1" hidden="1" outlineLevel="1" x14ac:dyDescent="0.2">
      <c r="A50" s="24"/>
      <c r="B50" s="25"/>
      <c r="C50" s="92"/>
      <c r="D50" s="92"/>
      <c r="E50" s="17"/>
      <c r="F50" s="63">
        <f t="shared" si="17"/>
        <v>0</v>
      </c>
      <c r="G50" s="56"/>
      <c r="H50" s="26"/>
      <c r="I50" s="17"/>
      <c r="J50" s="17">
        <f t="shared" si="18"/>
        <v>0</v>
      </c>
    </row>
    <row r="51" spans="1:10" s="15" customFormat="1" hidden="1" outlineLevel="1" x14ac:dyDescent="0.2">
      <c r="A51" s="24"/>
      <c r="B51" s="25"/>
      <c r="C51" s="93"/>
      <c r="D51" s="94"/>
      <c r="E51" s="17"/>
      <c r="F51" s="63">
        <f t="shared" si="17"/>
        <v>0</v>
      </c>
      <c r="G51" s="56"/>
      <c r="H51" s="26"/>
      <c r="I51" s="17"/>
      <c r="J51" s="17">
        <f t="shared" si="18"/>
        <v>0</v>
      </c>
    </row>
    <row r="52" spans="1:10" s="15" customFormat="1" hidden="1" outlineLevel="1" x14ac:dyDescent="0.2">
      <c r="A52" s="24"/>
      <c r="B52" s="25"/>
      <c r="C52" s="92"/>
      <c r="D52" s="92"/>
      <c r="E52" s="17"/>
      <c r="F52" s="63">
        <f t="shared" si="17"/>
        <v>0</v>
      </c>
      <c r="G52" s="56"/>
      <c r="H52" s="26"/>
      <c r="I52" s="17"/>
      <c r="J52" s="17">
        <f t="shared" si="18"/>
        <v>0</v>
      </c>
    </row>
    <row r="53" spans="1:10" s="15" customFormat="1" hidden="1" outlineLevel="1" x14ac:dyDescent="0.2">
      <c r="A53" s="24"/>
      <c r="B53" s="25"/>
      <c r="C53" s="93"/>
      <c r="D53" s="94"/>
      <c r="E53" s="17"/>
      <c r="F53" s="63">
        <f t="shared" si="17"/>
        <v>0</v>
      </c>
      <c r="G53" s="56"/>
      <c r="H53" s="26"/>
      <c r="I53" s="17"/>
      <c r="J53" s="17">
        <f t="shared" si="18"/>
        <v>0</v>
      </c>
    </row>
    <row r="54" spans="1:10" s="15" customFormat="1" hidden="1" outlineLevel="1" x14ac:dyDescent="0.2">
      <c r="B54" s="95" t="s">
        <v>14</v>
      </c>
      <c r="C54" s="96"/>
      <c r="D54" s="97"/>
      <c r="E54" s="27">
        <f>SUM(E48:E53)</f>
        <v>0</v>
      </c>
      <c r="F54" s="27">
        <f>SUM(F48:F53)</f>
        <v>0</v>
      </c>
      <c r="G54" s="23"/>
      <c r="H54" s="23"/>
      <c r="I54" s="27">
        <f>SUM(I48:I53)</f>
        <v>0</v>
      </c>
      <c r="J54" s="27">
        <f t="shared" si="18"/>
        <v>0</v>
      </c>
    </row>
    <row r="55" spans="1:10" s="15" customFormat="1" hidden="1" outlineLevel="1" x14ac:dyDescent="0.2">
      <c r="A55" s="24"/>
      <c r="B55" s="25"/>
      <c r="C55" s="99"/>
      <c r="D55" s="94"/>
      <c r="E55" s="17"/>
      <c r="F55" s="63">
        <f t="shared" ref="F55:F78" si="19">E55-(E55/(SUMIF($H$115:$H$119,G55,$I$115:$I$119)+1))</f>
        <v>0</v>
      </c>
      <c r="G55" s="56"/>
      <c r="H55" s="26"/>
      <c r="I55" s="17"/>
      <c r="J55" s="17">
        <f t="shared" ref="J55:J79" si="20">E55+I55</f>
        <v>0</v>
      </c>
    </row>
    <row r="56" spans="1:10" s="15" customFormat="1" hidden="1" outlineLevel="1" x14ac:dyDescent="0.2">
      <c r="A56" s="24"/>
      <c r="B56" s="25"/>
      <c r="C56" s="93"/>
      <c r="D56" s="94"/>
      <c r="E56" s="17"/>
      <c r="F56" s="63">
        <f t="shared" si="19"/>
        <v>0</v>
      </c>
      <c r="G56" s="56"/>
      <c r="H56" s="26"/>
      <c r="I56" s="17"/>
      <c r="J56" s="17">
        <f t="shared" si="20"/>
        <v>0</v>
      </c>
    </row>
    <row r="57" spans="1:10" s="15" customFormat="1" hidden="1" outlineLevel="1" x14ac:dyDescent="0.2">
      <c r="A57" s="24"/>
      <c r="B57" s="25"/>
      <c r="C57" s="98"/>
      <c r="D57" s="94"/>
      <c r="E57" s="17"/>
      <c r="F57" s="63">
        <f t="shared" si="19"/>
        <v>0</v>
      </c>
      <c r="G57" s="56"/>
      <c r="H57" s="26"/>
      <c r="I57" s="17"/>
      <c r="J57" s="17">
        <f t="shared" si="20"/>
        <v>0</v>
      </c>
    </row>
    <row r="58" spans="1:10" s="15" customFormat="1" hidden="1" outlineLevel="1" x14ac:dyDescent="0.2">
      <c r="A58" s="24"/>
      <c r="B58" s="25"/>
      <c r="C58" s="98"/>
      <c r="D58" s="94"/>
      <c r="E58" s="17"/>
      <c r="F58" s="63">
        <f t="shared" si="19"/>
        <v>0</v>
      </c>
      <c r="G58" s="56"/>
      <c r="H58" s="26"/>
      <c r="I58" s="17"/>
      <c r="J58" s="17">
        <f t="shared" si="20"/>
        <v>0</v>
      </c>
    </row>
    <row r="59" spans="1:10" s="15" customFormat="1" hidden="1" outlineLevel="1" x14ac:dyDescent="0.2">
      <c r="A59" s="24"/>
      <c r="B59" s="28"/>
      <c r="C59" s="98"/>
      <c r="D59" s="94"/>
      <c r="E59" s="17"/>
      <c r="F59" s="63">
        <f t="shared" si="19"/>
        <v>0</v>
      </c>
      <c r="G59" s="56"/>
      <c r="H59" s="26"/>
      <c r="I59" s="17"/>
      <c r="J59" s="17">
        <f t="shared" si="20"/>
        <v>0</v>
      </c>
    </row>
    <row r="60" spans="1:10" s="15" customFormat="1" hidden="1" outlineLevel="1" x14ac:dyDescent="0.2">
      <c r="A60" s="24"/>
      <c r="B60" s="25"/>
      <c r="C60" s="98"/>
      <c r="D60" s="94"/>
      <c r="E60" s="17"/>
      <c r="F60" s="63">
        <f t="shared" si="19"/>
        <v>0</v>
      </c>
      <c r="G60" s="56"/>
      <c r="H60" s="26"/>
      <c r="I60" s="17"/>
      <c r="J60" s="17">
        <f t="shared" si="20"/>
        <v>0</v>
      </c>
    </row>
    <row r="61" spans="1:10" s="15" customFormat="1" hidden="1" outlineLevel="1" x14ac:dyDescent="0.2">
      <c r="A61" s="24"/>
      <c r="B61" s="25"/>
      <c r="C61" s="98"/>
      <c r="D61" s="94"/>
      <c r="E61" s="17"/>
      <c r="F61" s="63">
        <f t="shared" si="19"/>
        <v>0</v>
      </c>
      <c r="G61" s="56"/>
      <c r="H61" s="26"/>
      <c r="I61" s="17"/>
      <c r="J61" s="17">
        <f t="shared" si="20"/>
        <v>0</v>
      </c>
    </row>
    <row r="62" spans="1:10" s="15" customFormat="1" hidden="1" outlineLevel="1" x14ac:dyDescent="0.2">
      <c r="A62" s="24"/>
      <c r="B62" s="25"/>
      <c r="C62" s="92"/>
      <c r="D62" s="92"/>
      <c r="E62" s="17"/>
      <c r="F62" s="63">
        <f t="shared" si="19"/>
        <v>0</v>
      </c>
      <c r="G62" s="56"/>
      <c r="H62" s="26"/>
      <c r="I62" s="17"/>
      <c r="J62" s="17">
        <f t="shared" si="20"/>
        <v>0</v>
      </c>
    </row>
    <row r="63" spans="1:10" s="15" customFormat="1" hidden="1" outlineLevel="1" x14ac:dyDescent="0.2">
      <c r="A63" s="24"/>
      <c r="B63" s="25"/>
      <c r="C63" s="92"/>
      <c r="D63" s="92"/>
      <c r="E63" s="17"/>
      <c r="F63" s="63">
        <f t="shared" si="19"/>
        <v>0</v>
      </c>
      <c r="G63" s="56"/>
      <c r="H63" s="26"/>
      <c r="I63" s="17"/>
      <c r="J63" s="17">
        <f t="shared" si="20"/>
        <v>0</v>
      </c>
    </row>
    <row r="64" spans="1:10" s="15" customFormat="1" hidden="1" outlineLevel="1" x14ac:dyDescent="0.2">
      <c r="A64" s="24"/>
      <c r="B64" s="25"/>
      <c r="C64" s="98"/>
      <c r="D64" s="94"/>
      <c r="E64" s="17"/>
      <c r="F64" s="63">
        <f t="shared" si="19"/>
        <v>0</v>
      </c>
      <c r="G64" s="56"/>
      <c r="H64" s="26"/>
      <c r="I64" s="17"/>
      <c r="J64" s="17">
        <f t="shared" si="20"/>
        <v>0</v>
      </c>
    </row>
    <row r="65" spans="1:10" s="15" customFormat="1" hidden="1" outlineLevel="1" x14ac:dyDescent="0.2">
      <c r="A65" s="24"/>
      <c r="B65" s="25"/>
      <c r="C65" s="98"/>
      <c r="D65" s="94"/>
      <c r="E65" s="17"/>
      <c r="F65" s="63">
        <f t="shared" si="19"/>
        <v>0</v>
      </c>
      <c r="G65" s="56"/>
      <c r="H65" s="26"/>
      <c r="I65" s="17"/>
      <c r="J65" s="17">
        <f t="shared" si="20"/>
        <v>0</v>
      </c>
    </row>
    <row r="66" spans="1:10" s="15" customFormat="1" hidden="1" outlineLevel="1" x14ac:dyDescent="0.2">
      <c r="A66" s="24"/>
      <c r="B66" s="25"/>
      <c r="C66" s="98"/>
      <c r="D66" s="94"/>
      <c r="E66" s="17"/>
      <c r="F66" s="63">
        <f t="shared" si="19"/>
        <v>0</v>
      </c>
      <c r="G66" s="56"/>
      <c r="H66" s="26"/>
      <c r="I66" s="17"/>
      <c r="J66" s="17">
        <f t="shared" si="20"/>
        <v>0</v>
      </c>
    </row>
    <row r="67" spans="1:10" s="15" customFormat="1" hidden="1" outlineLevel="1" x14ac:dyDescent="0.2">
      <c r="A67" s="24"/>
      <c r="B67" s="25"/>
      <c r="C67" s="93"/>
      <c r="D67" s="94"/>
      <c r="E67" s="17"/>
      <c r="F67" s="63">
        <f t="shared" si="19"/>
        <v>0</v>
      </c>
      <c r="G67" s="56"/>
      <c r="H67" s="26"/>
      <c r="I67" s="17"/>
      <c r="J67" s="17">
        <f t="shared" si="20"/>
        <v>0</v>
      </c>
    </row>
    <row r="68" spans="1:10" s="15" customFormat="1" hidden="1" outlineLevel="1" x14ac:dyDescent="0.2">
      <c r="A68" s="24"/>
      <c r="B68" s="25"/>
      <c r="C68" s="98"/>
      <c r="D68" s="94"/>
      <c r="E68" s="17"/>
      <c r="F68" s="63">
        <f t="shared" si="19"/>
        <v>0</v>
      </c>
      <c r="G68" s="56"/>
      <c r="H68" s="26"/>
      <c r="I68" s="17"/>
      <c r="J68" s="17">
        <f t="shared" si="20"/>
        <v>0</v>
      </c>
    </row>
    <row r="69" spans="1:10" s="15" customFormat="1" hidden="1" outlineLevel="1" x14ac:dyDescent="0.2">
      <c r="A69" s="24"/>
      <c r="B69" s="25"/>
      <c r="C69" s="98"/>
      <c r="D69" s="94"/>
      <c r="E69" s="17"/>
      <c r="F69" s="63">
        <f t="shared" si="19"/>
        <v>0</v>
      </c>
      <c r="G69" s="56"/>
      <c r="H69" s="26"/>
      <c r="I69" s="17"/>
      <c r="J69" s="17">
        <f t="shared" si="20"/>
        <v>0</v>
      </c>
    </row>
    <row r="70" spans="1:10" s="15" customFormat="1" hidden="1" outlineLevel="1" x14ac:dyDescent="0.2">
      <c r="A70" s="24"/>
      <c r="B70" s="28"/>
      <c r="C70" s="98"/>
      <c r="D70" s="94"/>
      <c r="E70" s="17"/>
      <c r="F70" s="63">
        <f t="shared" si="19"/>
        <v>0</v>
      </c>
      <c r="G70" s="56"/>
      <c r="H70" s="26"/>
      <c r="I70" s="17"/>
      <c r="J70" s="17">
        <f t="shared" si="20"/>
        <v>0</v>
      </c>
    </row>
    <row r="71" spans="1:10" s="15" customFormat="1" hidden="1" outlineLevel="1" x14ac:dyDescent="0.2">
      <c r="A71" s="24"/>
      <c r="B71" s="25"/>
      <c r="C71" s="98"/>
      <c r="D71" s="94"/>
      <c r="E71" s="17"/>
      <c r="F71" s="63">
        <f t="shared" si="19"/>
        <v>0</v>
      </c>
      <c r="G71" s="56"/>
      <c r="H71" s="26"/>
      <c r="I71" s="17"/>
      <c r="J71" s="17">
        <f t="shared" si="20"/>
        <v>0</v>
      </c>
    </row>
    <row r="72" spans="1:10" s="15" customFormat="1" hidden="1" outlineLevel="1" x14ac:dyDescent="0.2">
      <c r="A72" s="24"/>
      <c r="B72" s="25"/>
      <c r="C72" s="98"/>
      <c r="D72" s="94"/>
      <c r="E72" s="17"/>
      <c r="F72" s="63">
        <f t="shared" si="19"/>
        <v>0</v>
      </c>
      <c r="G72" s="56"/>
      <c r="H72" s="26"/>
      <c r="I72" s="17"/>
      <c r="J72" s="17">
        <f t="shared" si="20"/>
        <v>0</v>
      </c>
    </row>
    <row r="73" spans="1:10" s="15" customFormat="1" hidden="1" outlineLevel="1" x14ac:dyDescent="0.2">
      <c r="A73" s="24"/>
      <c r="B73" s="25"/>
      <c r="C73" s="92"/>
      <c r="D73" s="92"/>
      <c r="E73" s="17"/>
      <c r="F73" s="63">
        <f t="shared" si="19"/>
        <v>0</v>
      </c>
      <c r="G73" s="56"/>
      <c r="H73" s="26"/>
      <c r="I73" s="17"/>
      <c r="J73" s="17">
        <f t="shared" si="20"/>
        <v>0</v>
      </c>
    </row>
    <row r="74" spans="1:10" s="15" customFormat="1" hidden="1" outlineLevel="1" x14ac:dyDescent="0.2">
      <c r="A74" s="24"/>
      <c r="B74" s="25"/>
      <c r="C74" s="92"/>
      <c r="D74" s="92"/>
      <c r="E74" s="17"/>
      <c r="F74" s="63">
        <f t="shared" si="19"/>
        <v>0</v>
      </c>
      <c r="G74" s="56"/>
      <c r="H74" s="26"/>
      <c r="I74" s="17"/>
      <c r="J74" s="17">
        <f t="shared" si="20"/>
        <v>0</v>
      </c>
    </row>
    <row r="75" spans="1:10" s="15" customFormat="1" hidden="1" outlineLevel="1" x14ac:dyDescent="0.2">
      <c r="A75" s="24"/>
      <c r="B75" s="25"/>
      <c r="C75" s="98"/>
      <c r="D75" s="94"/>
      <c r="E75" s="17"/>
      <c r="F75" s="63">
        <f t="shared" si="19"/>
        <v>0</v>
      </c>
      <c r="G75" s="56"/>
      <c r="H75" s="26"/>
      <c r="I75" s="17"/>
      <c r="J75" s="17">
        <f t="shared" si="20"/>
        <v>0</v>
      </c>
    </row>
    <row r="76" spans="1:10" s="15" customFormat="1" hidden="1" outlineLevel="1" x14ac:dyDescent="0.2">
      <c r="A76" s="24"/>
      <c r="B76" s="25"/>
      <c r="C76" s="98"/>
      <c r="D76" s="94"/>
      <c r="E76" s="17"/>
      <c r="F76" s="63">
        <f t="shared" si="19"/>
        <v>0</v>
      </c>
      <c r="G76" s="56"/>
      <c r="H76" s="26"/>
      <c r="I76" s="17"/>
      <c r="J76" s="17">
        <f t="shared" si="20"/>
        <v>0</v>
      </c>
    </row>
    <row r="77" spans="1:10" s="15" customFormat="1" hidden="1" outlineLevel="1" x14ac:dyDescent="0.2">
      <c r="A77" s="24"/>
      <c r="B77" s="25"/>
      <c r="C77" s="98"/>
      <c r="D77" s="94"/>
      <c r="E77" s="17"/>
      <c r="F77" s="63">
        <f t="shared" si="19"/>
        <v>0</v>
      </c>
      <c r="G77" s="56"/>
      <c r="H77" s="26"/>
      <c r="I77" s="17"/>
      <c r="J77" s="17">
        <f t="shared" si="20"/>
        <v>0</v>
      </c>
    </row>
    <row r="78" spans="1:10" s="15" customFormat="1" hidden="1" outlineLevel="1" x14ac:dyDescent="0.2">
      <c r="A78" s="24"/>
      <c r="B78" s="25"/>
      <c r="C78" s="98"/>
      <c r="D78" s="94"/>
      <c r="E78" s="17"/>
      <c r="F78" s="63">
        <f t="shared" si="19"/>
        <v>0</v>
      </c>
      <c r="G78" s="56"/>
      <c r="H78" s="26"/>
      <c r="I78" s="17"/>
      <c r="J78" s="17">
        <f t="shared" si="20"/>
        <v>0</v>
      </c>
    </row>
    <row r="79" spans="1:10" s="15" customFormat="1" hidden="1" outlineLevel="1" x14ac:dyDescent="0.2">
      <c r="B79" s="95" t="s">
        <v>25</v>
      </c>
      <c r="C79" s="96"/>
      <c r="D79" s="97"/>
      <c r="E79" s="27">
        <f>SUM(E55:E78)</f>
        <v>0</v>
      </c>
      <c r="F79" s="27">
        <f>IF(B31=B118,SUM(F55:F78),0)</f>
        <v>0</v>
      </c>
      <c r="G79" s="23"/>
      <c r="H79" s="23"/>
      <c r="I79" s="27">
        <f>SUM(I55:I78)</f>
        <v>0</v>
      </c>
      <c r="J79" s="27">
        <f t="shared" si="20"/>
        <v>0</v>
      </c>
    </row>
    <row r="80" spans="1:10" s="15" customFormat="1" hidden="1" outlineLevel="1" x14ac:dyDescent="0.2">
      <c r="B80" s="95" t="s">
        <v>91</v>
      </c>
      <c r="C80" s="96"/>
      <c r="D80" s="97"/>
      <c r="E80" s="27">
        <f>IF(C149&lt;=0,C149,0)</f>
        <v>0</v>
      </c>
      <c r="F80" s="23"/>
      <c r="G80" s="23"/>
      <c r="H80" s="23"/>
      <c r="I80" s="27"/>
      <c r="J80" s="27"/>
    </row>
    <row r="81" spans="1:10" s="15" customFormat="1" hidden="1" outlineLevel="1" x14ac:dyDescent="0.2">
      <c r="B81" s="95" t="s">
        <v>79</v>
      </c>
      <c r="C81" s="96"/>
      <c r="D81" s="97"/>
      <c r="E81" s="27">
        <f>-SUMIF($B$116:$B$123,$B$31,$A$116:$A$123)*(E54+E79)</f>
        <v>0</v>
      </c>
      <c r="F81" s="23"/>
      <c r="G81" s="23"/>
      <c r="H81" s="23"/>
      <c r="I81" s="27"/>
      <c r="J81" s="27"/>
    </row>
    <row r="82" spans="1:10" s="15" customFormat="1" hidden="1" outlineLevel="1" x14ac:dyDescent="0.2">
      <c r="B82" s="95" t="str">
        <f>D32</f>
        <v>Оплата за заказ Стажировка</v>
      </c>
      <c r="C82" s="96"/>
      <c r="D82" s="97"/>
      <c r="E82" s="27">
        <f>-E25*SUMIF($B$106:$B$110,$B$1,$C$106:$C$110)</f>
        <v>0</v>
      </c>
      <c r="F82" s="23"/>
      <c r="G82" s="23"/>
      <c r="H82" s="23"/>
      <c r="I82" s="27"/>
      <c r="J82" s="27"/>
    </row>
    <row r="83" spans="1:10" s="15" customFormat="1" hidden="1" outlineLevel="1" x14ac:dyDescent="0.2">
      <c r="B83" s="91" t="s">
        <v>28</v>
      </c>
      <c r="C83" s="91"/>
      <c r="D83" s="91"/>
      <c r="E83" s="29">
        <f>E54+E79+E80+E81+E82</f>
        <v>0</v>
      </c>
      <c r="F83" s="30"/>
      <c r="G83" s="30"/>
      <c r="H83" s="30"/>
      <c r="I83" s="31"/>
      <c r="J83" s="31"/>
    </row>
    <row r="84" spans="1:10" s="15" customFormat="1" hidden="1" outlineLevel="1" x14ac:dyDescent="0.2">
      <c r="B84" s="70" t="s">
        <v>37</v>
      </c>
      <c r="C84" s="111"/>
      <c r="D84" s="112"/>
      <c r="E84" s="112"/>
      <c r="F84" s="112"/>
      <c r="G84" s="112"/>
      <c r="H84" s="112"/>
      <c r="I84" s="112"/>
      <c r="J84" s="113"/>
    </row>
    <row r="85" spans="1:10" s="15" customFormat="1" hidden="1" outlineLevel="1" x14ac:dyDescent="0.2">
      <c r="B85" s="70" t="s">
        <v>58</v>
      </c>
      <c r="C85" s="110"/>
      <c r="D85" s="110"/>
      <c r="E85" s="110"/>
      <c r="F85" s="110"/>
      <c r="G85" s="110"/>
      <c r="H85" s="110"/>
      <c r="I85" s="110"/>
      <c r="J85" s="110"/>
    </row>
    <row r="86" spans="1:10" s="15" customFormat="1" hidden="1" outlineLevel="1" x14ac:dyDescent="0.2">
      <c r="B86" s="20"/>
      <c r="D86" s="69"/>
      <c r="E86" s="69"/>
    </row>
    <row r="87" spans="1:10" s="18" customFormat="1" hidden="1" outlineLevel="1" x14ac:dyDescent="0.2">
      <c r="A87" s="15"/>
      <c r="B87" s="20"/>
      <c r="C87" s="32"/>
      <c r="F87" s="15"/>
      <c r="G87" s="15"/>
      <c r="H87" s="15"/>
    </row>
    <row r="88" spans="1:10" s="15" customFormat="1" hidden="1" outlineLevel="1" x14ac:dyDescent="0.2">
      <c r="B88" s="20"/>
      <c r="D88" s="18"/>
      <c r="E88" s="18"/>
    </row>
    <row r="89" spans="1:10" s="15" customFormat="1" hidden="1" outlineLevel="1" x14ac:dyDescent="0.2">
      <c r="B89" s="20"/>
      <c r="D89" s="18"/>
      <c r="E89" s="18"/>
    </row>
    <row r="90" spans="1:10" s="18" customFormat="1" hidden="1" outlineLevel="1" x14ac:dyDescent="0.2">
      <c r="A90" s="15"/>
      <c r="B90" s="20"/>
      <c r="C90" s="32"/>
      <c r="F90" s="15"/>
      <c r="G90" s="15"/>
      <c r="H90" s="15"/>
    </row>
    <row r="91" spans="1:10" s="15" customFormat="1" hidden="1" outlineLevel="1" x14ac:dyDescent="0.2">
      <c r="B91" s="20"/>
      <c r="D91" s="18"/>
      <c r="E91" s="18"/>
    </row>
    <row r="92" spans="1:10" s="15" customFormat="1" hidden="1" outlineLevel="1" x14ac:dyDescent="0.2">
      <c r="B92" s="90" t="s">
        <v>64</v>
      </c>
      <c r="C92" s="90"/>
      <c r="D92" s="90"/>
      <c r="E92" s="90"/>
      <c r="F92" s="90"/>
      <c r="G92" s="90"/>
      <c r="H92" s="90"/>
      <c r="I92" s="90"/>
    </row>
    <row r="93" spans="1:10" s="33" customFormat="1" ht="30.75" hidden="1" customHeight="1" outlineLevel="1" x14ac:dyDescent="0.2">
      <c r="B93" s="34" t="s">
        <v>59</v>
      </c>
      <c r="C93" s="34" t="s">
        <v>26</v>
      </c>
      <c r="D93" s="35" t="s">
        <v>60</v>
      </c>
      <c r="E93" s="35" t="s">
        <v>61</v>
      </c>
      <c r="F93" s="36" t="s">
        <v>62</v>
      </c>
      <c r="G93" s="37" t="s">
        <v>29</v>
      </c>
      <c r="H93" s="36" t="s">
        <v>63</v>
      </c>
      <c r="I93" s="37" t="s">
        <v>104</v>
      </c>
    </row>
    <row r="94" spans="1:10" s="15" customFormat="1" hidden="1" outlineLevel="1" x14ac:dyDescent="0.2">
      <c r="B94" s="71" t="str">
        <f>A1</f>
        <v>Номер заказа</v>
      </c>
      <c r="C94" s="61" t="str">
        <f>VLOOKUP(B1,F106:G110,2,0)</f>
        <v>СТ</v>
      </c>
      <c r="D94" s="38" t="str">
        <f>B32</f>
        <v>Онлайн с сайта</v>
      </c>
      <c r="E94" s="17"/>
      <c r="F94" s="17">
        <f>E42</f>
        <v>0</v>
      </c>
      <c r="G94" s="17">
        <f>-E27</f>
        <v>0</v>
      </c>
      <c r="H94" s="17">
        <f>-(E28+E29+E30+E38)</f>
        <v>0</v>
      </c>
      <c r="I94" s="17">
        <f>-E32</f>
        <v>0</v>
      </c>
    </row>
    <row r="95" spans="1:10" s="15" customFormat="1" hidden="1" outlineLevel="1" x14ac:dyDescent="0.2">
      <c r="B95" s="20"/>
      <c r="D95" s="18"/>
      <c r="E95" s="18"/>
    </row>
    <row r="96" spans="1:10" s="15" customFormat="1" hidden="1" outlineLevel="1" x14ac:dyDescent="0.2">
      <c r="B96" s="90" t="s">
        <v>27</v>
      </c>
      <c r="C96" s="90"/>
      <c r="D96" s="90"/>
      <c r="E96" s="90"/>
      <c r="F96" s="90"/>
      <c r="G96" s="90"/>
      <c r="H96" s="90"/>
      <c r="I96" s="90"/>
    </row>
    <row r="97" spans="1:9" s="33" customFormat="1" ht="30.75" hidden="1" customHeight="1" outlineLevel="1" x14ac:dyDescent="0.2">
      <c r="B97" s="39" t="s">
        <v>15</v>
      </c>
      <c r="C97" s="40" t="s">
        <v>16</v>
      </c>
      <c r="D97" s="40" t="s">
        <v>17</v>
      </c>
      <c r="E97" s="40" t="s">
        <v>18</v>
      </c>
      <c r="F97" s="40" t="s">
        <v>19</v>
      </c>
      <c r="G97" s="40" t="s">
        <v>20</v>
      </c>
      <c r="H97" s="40" t="s">
        <v>21</v>
      </c>
      <c r="I97" s="40" t="s">
        <v>22</v>
      </c>
    </row>
    <row r="98" spans="1:9" s="15" customFormat="1" hidden="1" outlineLevel="1" x14ac:dyDescent="0.2">
      <c r="B98" s="41">
        <f>MIN(H48:H78)</f>
        <v>0</v>
      </c>
      <c r="C98" s="42">
        <f>C85</f>
        <v>0</v>
      </c>
      <c r="D98" s="38" t="str">
        <f>VLOOKUP(B29,B134:C140,2,0)</f>
        <v>Предоплата 100%</v>
      </c>
      <c r="E98" s="17" t="str">
        <f>B31</f>
        <v>РСЧ (ИП Козловский А.В.)</v>
      </c>
      <c r="F98" s="17">
        <f>E54</f>
        <v>0</v>
      </c>
      <c r="G98" s="17">
        <f>E79</f>
        <v>0</v>
      </c>
      <c r="H98" s="17">
        <f>E82</f>
        <v>0</v>
      </c>
      <c r="I98" s="17">
        <f>E80+E81</f>
        <v>0</v>
      </c>
    </row>
    <row r="99" spans="1:9" s="15" customFormat="1" hidden="1" outlineLevel="1" x14ac:dyDescent="0.2">
      <c r="B99" s="20"/>
      <c r="D99" s="18"/>
      <c r="E99" s="18"/>
    </row>
    <row r="100" spans="1:9" s="15" customFormat="1" hidden="1" outlineLevel="1" x14ac:dyDescent="0.2">
      <c r="B100" s="20"/>
      <c r="D100" s="18"/>
      <c r="E100" s="18"/>
    </row>
    <row r="101" spans="1:9" s="15" customFormat="1" ht="16" hidden="1" outlineLevel="1" x14ac:dyDescent="0.2">
      <c r="B101" s="20" t="s">
        <v>109</v>
      </c>
      <c r="D101" s="18"/>
      <c r="E101" s="18"/>
    </row>
    <row r="102" spans="1:9" s="15" customFormat="1" ht="15.75" customHeight="1" collapsed="1" thickBot="1" x14ac:dyDescent="0.25">
      <c r="B102" s="43"/>
      <c r="C102" s="44"/>
      <c r="D102" s="45"/>
      <c r="E102" s="45"/>
      <c r="F102" s="44"/>
      <c r="G102" s="44"/>
      <c r="H102" s="44"/>
      <c r="I102" s="44"/>
    </row>
    <row r="103" spans="1:9" s="15" customFormat="1" ht="15.75" hidden="1" customHeight="1" outlineLevel="1" thickTop="1" x14ac:dyDescent="0.2">
      <c r="B103" s="20"/>
      <c r="D103" s="18"/>
      <c r="E103" s="18"/>
    </row>
    <row r="104" spans="1:9" s="15" customFormat="1" ht="15.75" hidden="1" customHeight="1" outlineLevel="1" x14ac:dyDescent="0.2">
      <c r="B104" s="20"/>
      <c r="D104" s="18"/>
      <c r="E104" s="18"/>
    </row>
    <row r="105" spans="1:9" s="15" customFormat="1" hidden="1" outlineLevel="1" x14ac:dyDescent="0.2">
      <c r="A105" s="15" t="s">
        <v>13</v>
      </c>
    </row>
    <row r="106" spans="1:9" s="15" customFormat="1" hidden="1" outlineLevel="1" x14ac:dyDescent="0.2">
      <c r="A106" s="15" t="s">
        <v>95</v>
      </c>
      <c r="B106" s="15" t="s">
        <v>96</v>
      </c>
      <c r="C106" s="46">
        <v>0.03</v>
      </c>
      <c r="D106" s="46"/>
      <c r="E106" s="46"/>
      <c r="F106" s="15" t="s">
        <v>96</v>
      </c>
      <c r="G106" s="15" t="s">
        <v>95</v>
      </c>
    </row>
    <row r="107" spans="1:9" s="15" customFormat="1" hidden="1" outlineLevel="1" x14ac:dyDescent="0.2">
      <c r="A107" s="15" t="s">
        <v>97</v>
      </c>
      <c r="B107" s="15" t="s">
        <v>98</v>
      </c>
      <c r="C107" s="46">
        <v>0.03</v>
      </c>
      <c r="F107" s="15" t="s">
        <v>98</v>
      </c>
      <c r="G107" s="15" t="s">
        <v>97</v>
      </c>
    </row>
    <row r="108" spans="1:9" s="15" customFormat="1" hidden="1" outlineLevel="1" x14ac:dyDescent="0.2">
      <c r="A108" s="15" t="s">
        <v>99</v>
      </c>
      <c r="B108" s="15" t="s">
        <v>100</v>
      </c>
      <c r="C108" s="46">
        <v>0.03</v>
      </c>
      <c r="F108" s="15" t="s">
        <v>100</v>
      </c>
      <c r="G108" s="15" t="s">
        <v>99</v>
      </c>
    </row>
    <row r="109" spans="1:9" s="15" customFormat="1" hidden="1" outlineLevel="1" x14ac:dyDescent="0.2">
      <c r="A109" s="15" t="s">
        <v>101</v>
      </c>
      <c r="B109" s="15" t="s">
        <v>102</v>
      </c>
      <c r="C109" s="46">
        <v>0.03</v>
      </c>
      <c r="F109" s="15" t="s">
        <v>102</v>
      </c>
      <c r="G109" s="15" t="s">
        <v>101</v>
      </c>
    </row>
    <row r="110" spans="1:9" s="15" customFormat="1" hidden="1" outlineLevel="1" x14ac:dyDescent="0.2">
      <c r="A110" s="15" t="s">
        <v>106</v>
      </c>
      <c r="B110" s="15" t="s">
        <v>105</v>
      </c>
      <c r="C110" s="46">
        <v>0.03</v>
      </c>
      <c r="F110" s="15" t="s">
        <v>105</v>
      </c>
      <c r="G110" s="15" t="s">
        <v>106</v>
      </c>
    </row>
    <row r="111" spans="1:9" s="15" customFormat="1" hidden="1" outlineLevel="1" x14ac:dyDescent="0.2">
      <c r="C111" s="46"/>
    </row>
    <row r="112" spans="1:9" s="15" customFormat="1" hidden="1" outlineLevel="1" x14ac:dyDescent="0.2">
      <c r="C112" s="46"/>
    </row>
    <row r="113" spans="1:9" s="15" customFormat="1" hidden="1" outlineLevel="1" x14ac:dyDescent="0.2">
      <c r="C113" s="46"/>
    </row>
    <row r="114" spans="1:9" s="15" customFormat="1" hidden="1" outlineLevel="1" x14ac:dyDescent="0.2">
      <c r="C114" s="46"/>
    </row>
    <row r="115" spans="1:9" s="15" customFormat="1" hidden="1" outlineLevel="1" x14ac:dyDescent="0.2">
      <c r="B115" s="15" t="s">
        <v>55</v>
      </c>
      <c r="E115" s="15" t="s">
        <v>107</v>
      </c>
      <c r="F115" s="15" t="s">
        <v>108</v>
      </c>
      <c r="H115" s="15" t="s">
        <v>86</v>
      </c>
      <c r="I115" s="15">
        <v>0</v>
      </c>
    </row>
    <row r="116" spans="1:9" s="15" customFormat="1" hidden="1" outlineLevel="1" x14ac:dyDescent="0.2">
      <c r="A116" s="15">
        <v>0.15</v>
      </c>
      <c r="B116" s="15" t="s">
        <v>66</v>
      </c>
      <c r="C116" s="46">
        <v>0</v>
      </c>
      <c r="D116" s="15" t="s">
        <v>66</v>
      </c>
      <c r="E116" s="15">
        <v>0.05</v>
      </c>
      <c r="H116" s="46">
        <v>0.05</v>
      </c>
      <c r="I116" s="15">
        <v>0.05</v>
      </c>
    </row>
    <row r="117" spans="1:9" s="15" customFormat="1" hidden="1" outlineLevel="1" x14ac:dyDescent="0.2">
      <c r="A117" s="15">
        <v>0.15</v>
      </c>
      <c r="B117" s="15" t="s">
        <v>24</v>
      </c>
      <c r="C117" s="46">
        <v>0</v>
      </c>
      <c r="D117" s="15" t="s">
        <v>24</v>
      </c>
      <c r="E117" s="15">
        <v>0</v>
      </c>
      <c r="H117" s="46">
        <v>7.0000000000000007E-2</v>
      </c>
      <c r="I117" s="15">
        <v>7.0000000000000007E-2</v>
      </c>
    </row>
    <row r="118" spans="1:9" s="15" customFormat="1" hidden="1" outlineLevel="1" x14ac:dyDescent="0.2">
      <c r="A118" s="15">
        <v>0.25</v>
      </c>
      <c r="B118" s="15" t="s">
        <v>41</v>
      </c>
      <c r="C118" s="46">
        <v>0</v>
      </c>
      <c r="D118" s="15" t="s">
        <v>41</v>
      </c>
      <c r="E118" s="15">
        <v>0.2</v>
      </c>
      <c r="H118" s="46">
        <v>0.1</v>
      </c>
      <c r="I118" s="15">
        <v>0.1</v>
      </c>
    </row>
    <row r="119" spans="1:9" s="15" customFormat="1" hidden="1" outlineLevel="1" x14ac:dyDescent="0.2">
      <c r="A119" s="15">
        <v>0.15</v>
      </c>
      <c r="B119" s="15" t="s">
        <v>42</v>
      </c>
      <c r="C119" s="47">
        <v>2.29E-2</v>
      </c>
      <c r="D119" s="15" t="s">
        <v>42</v>
      </c>
      <c r="E119" s="15">
        <v>0.05</v>
      </c>
      <c r="H119" s="46">
        <v>0.2</v>
      </c>
      <c r="I119" s="15">
        <v>0.2</v>
      </c>
    </row>
    <row r="120" spans="1:9" s="15" customFormat="1" hidden="1" outlineLevel="1" x14ac:dyDescent="0.2">
      <c r="A120" s="15">
        <v>0.15</v>
      </c>
      <c r="B120" s="15" t="s">
        <v>43</v>
      </c>
      <c r="C120" s="47">
        <v>4.0000000000000001E-3</v>
      </c>
      <c r="D120" s="15" t="s">
        <v>43</v>
      </c>
      <c r="E120" s="15">
        <v>0.05</v>
      </c>
    </row>
    <row r="121" spans="1:9" s="15" customFormat="1" hidden="1" outlineLevel="1" x14ac:dyDescent="0.2">
      <c r="A121" s="15">
        <v>0.15</v>
      </c>
      <c r="B121" s="15" t="s">
        <v>44</v>
      </c>
      <c r="C121" s="47">
        <v>5.1900000000000002E-2</v>
      </c>
      <c r="D121" s="15" t="s">
        <v>44</v>
      </c>
      <c r="E121" s="15">
        <v>0.05</v>
      </c>
    </row>
    <row r="122" spans="1:9" s="15" customFormat="1" hidden="1" outlineLevel="1" x14ac:dyDescent="0.2">
      <c r="A122" s="15">
        <v>0.15</v>
      </c>
      <c r="B122" s="15" t="s">
        <v>40</v>
      </c>
      <c r="C122" s="46">
        <v>0</v>
      </c>
      <c r="D122" s="15" t="s">
        <v>40</v>
      </c>
      <c r="E122" s="15">
        <v>0.05</v>
      </c>
    </row>
    <row r="123" spans="1:9" s="15" customFormat="1" hidden="1" outlineLevel="1" x14ac:dyDescent="0.2">
      <c r="B123" s="15" t="s">
        <v>54</v>
      </c>
      <c r="C123" s="46"/>
      <c r="D123" s="15" t="s">
        <v>54</v>
      </c>
    </row>
    <row r="124" spans="1:9" s="15" customFormat="1" hidden="1" outlineLevel="1" x14ac:dyDescent="0.2"/>
    <row r="125" spans="1:9" s="15" customFormat="1" hidden="1" outlineLevel="1" x14ac:dyDescent="0.2">
      <c r="B125" s="15" t="s">
        <v>52</v>
      </c>
    </row>
    <row r="126" spans="1:9" s="15" customFormat="1" ht="16" hidden="1" outlineLevel="1" x14ac:dyDescent="0.2">
      <c r="B126" s="48" t="s">
        <v>33</v>
      </c>
    </row>
    <row r="127" spans="1:9" s="15" customFormat="1" ht="16" hidden="1" outlineLevel="1" x14ac:dyDescent="0.2">
      <c r="B127" s="48" t="s">
        <v>34</v>
      </c>
    </row>
    <row r="128" spans="1:9" s="15" customFormat="1" hidden="1" outlineLevel="1" x14ac:dyDescent="0.2"/>
    <row r="129" spans="1:5" s="15" customFormat="1" hidden="1" outlineLevel="1" x14ac:dyDescent="0.2">
      <c r="B129" s="15" t="s">
        <v>53</v>
      </c>
    </row>
    <row r="130" spans="1:5" s="15" customFormat="1" ht="16" hidden="1" outlineLevel="1" x14ac:dyDescent="0.2">
      <c r="B130" s="49" t="s">
        <v>35</v>
      </c>
    </row>
    <row r="131" spans="1:5" s="15" customFormat="1" ht="16" hidden="1" outlineLevel="1" x14ac:dyDescent="0.2">
      <c r="B131" s="49" t="s">
        <v>36</v>
      </c>
    </row>
    <row r="132" spans="1:5" s="15" customFormat="1" hidden="1" outlineLevel="1" x14ac:dyDescent="0.2"/>
    <row r="133" spans="1:5" s="15" customFormat="1" hidden="1" outlineLevel="1" x14ac:dyDescent="0.2">
      <c r="A133" s="15" t="s">
        <v>38</v>
      </c>
      <c r="B133" s="15" t="s">
        <v>51</v>
      </c>
    </row>
    <row r="134" spans="1:5" s="15" customFormat="1" hidden="1" outlineLevel="1" x14ac:dyDescent="0.2">
      <c r="B134" s="15" t="s">
        <v>45</v>
      </c>
      <c r="C134" s="15" t="s">
        <v>45</v>
      </c>
    </row>
    <row r="135" spans="1:5" s="15" customFormat="1" hidden="1" outlineLevel="1" x14ac:dyDescent="0.2">
      <c r="B135" s="15" t="s">
        <v>46</v>
      </c>
      <c r="C135" s="15" t="s">
        <v>67</v>
      </c>
    </row>
    <row r="136" spans="1:5" s="15" customFormat="1" hidden="1" outlineLevel="1" x14ac:dyDescent="0.2">
      <c r="B136" s="15" t="s">
        <v>47</v>
      </c>
      <c r="C136" s="15" t="s">
        <v>67</v>
      </c>
    </row>
    <row r="137" spans="1:5" s="15" customFormat="1" hidden="1" outlineLevel="1" x14ac:dyDescent="0.2">
      <c r="B137" s="15" t="s">
        <v>48</v>
      </c>
      <c r="C137" s="15" t="s">
        <v>67</v>
      </c>
    </row>
    <row r="138" spans="1:5" s="15" customFormat="1" hidden="1" outlineLevel="1" x14ac:dyDescent="0.2">
      <c r="B138" s="15" t="s">
        <v>49</v>
      </c>
      <c r="C138" s="15" t="s">
        <v>68</v>
      </c>
    </row>
    <row r="139" spans="1:5" s="15" customFormat="1" hidden="1" outlineLevel="1" x14ac:dyDescent="0.2">
      <c r="B139" s="15" t="s">
        <v>65</v>
      </c>
      <c r="C139" s="15" t="s">
        <v>69</v>
      </c>
    </row>
    <row r="140" spans="1:5" s="15" customFormat="1" hidden="1" outlineLevel="1" x14ac:dyDescent="0.2">
      <c r="B140" s="15" t="s">
        <v>50</v>
      </c>
      <c r="C140" s="15" t="s">
        <v>50</v>
      </c>
    </row>
    <row r="141" spans="1:5" s="15" customFormat="1" hidden="1" outlineLevel="1" x14ac:dyDescent="0.2"/>
    <row r="142" spans="1:5" s="15" customFormat="1" hidden="1" outlineLevel="1" x14ac:dyDescent="0.2">
      <c r="A142" s="15" t="s">
        <v>39</v>
      </c>
      <c r="B142" s="15" t="s">
        <v>56</v>
      </c>
      <c r="C142" s="15" t="s">
        <v>13</v>
      </c>
      <c r="D142" s="15" t="s">
        <v>80</v>
      </c>
    </row>
    <row r="143" spans="1:5" s="15" customFormat="1" hidden="1" outlineLevel="1" x14ac:dyDescent="0.2">
      <c r="A143" s="46">
        <v>0</v>
      </c>
      <c r="B143" s="15" t="s">
        <v>76</v>
      </c>
      <c r="C143" s="15">
        <v>0.1</v>
      </c>
      <c r="D143" s="15">
        <v>0.3</v>
      </c>
      <c r="E143" s="15" t="s">
        <v>82</v>
      </c>
    </row>
    <row r="144" spans="1:5" s="15" customFormat="1" hidden="1" outlineLevel="1" x14ac:dyDescent="0.2">
      <c r="A144" s="46">
        <v>0.02</v>
      </c>
      <c r="B144" s="15" t="s">
        <v>75</v>
      </c>
      <c r="C144" s="15">
        <v>0.1</v>
      </c>
      <c r="D144" s="15">
        <v>0.1</v>
      </c>
      <c r="E144" s="15" t="s">
        <v>82</v>
      </c>
    </row>
    <row r="145" spans="1:5" s="15" customFormat="1" hidden="1" outlineLevel="1" x14ac:dyDescent="0.2">
      <c r="A145" s="46">
        <v>0</v>
      </c>
      <c r="B145" s="15" t="s">
        <v>77</v>
      </c>
      <c r="C145" s="15">
        <v>0.1</v>
      </c>
      <c r="D145" s="15">
        <v>0.3</v>
      </c>
      <c r="E145" s="15" t="s">
        <v>82</v>
      </c>
    </row>
    <row r="146" spans="1:5" s="15" customFormat="1" hidden="1" outlineLevel="1" x14ac:dyDescent="0.2">
      <c r="A146" s="46">
        <v>0</v>
      </c>
      <c r="B146" s="15" t="s">
        <v>74</v>
      </c>
      <c r="C146" s="15">
        <v>0.1</v>
      </c>
      <c r="D146" s="15">
        <v>0.02</v>
      </c>
      <c r="E146" s="15" t="s">
        <v>81</v>
      </c>
    </row>
    <row r="147" spans="1:5" s="15" customFormat="1" hidden="1" outlineLevel="1" x14ac:dyDescent="0.2">
      <c r="A147" s="46"/>
    </row>
    <row r="148" spans="1:5" s="15" customFormat="1" ht="16" hidden="1" outlineLevel="1" x14ac:dyDescent="0.2">
      <c r="A148" s="46"/>
      <c r="B148" s="20" t="s">
        <v>92</v>
      </c>
      <c r="C148" s="18">
        <f>F25-F13</f>
        <v>0</v>
      </c>
    </row>
    <row r="149" spans="1:5" s="15" customFormat="1" ht="16" hidden="1" outlineLevel="1" x14ac:dyDescent="0.2">
      <c r="A149" s="46"/>
      <c r="B149" s="20" t="s">
        <v>93</v>
      </c>
      <c r="C149" s="18">
        <f>-(F54+F79)</f>
        <v>0</v>
      </c>
    </row>
    <row r="150" spans="1:5" s="15" customFormat="1" hidden="1" outlineLevel="1" x14ac:dyDescent="0.2">
      <c r="A150" s="46"/>
    </row>
    <row r="151" spans="1:5" s="15" customFormat="1" hidden="1" outlineLevel="1" x14ac:dyDescent="0.2"/>
    <row r="152" spans="1:5" s="15" customFormat="1" hidden="1" outlineLevel="1" x14ac:dyDescent="0.2">
      <c r="B152" s="20"/>
      <c r="D152" s="18"/>
      <c r="E152" s="18"/>
    </row>
    <row r="153" spans="1:5" s="15" customFormat="1" ht="16" collapsed="1" thickTop="1" x14ac:dyDescent="0.2">
      <c r="D153" s="18"/>
      <c r="E153" s="18"/>
    </row>
    <row r="154" spans="1:5" s="15" customFormat="1" x14ac:dyDescent="0.2">
      <c r="D154" s="18"/>
      <c r="E154" s="18"/>
    </row>
  </sheetData>
  <sheetProtection algorithmName="SHA-512" hashValue="zudHuMrJEKyoUU7PehzJ4UMXYAUxspogivQClgB85aoVtJRxyZ3/JCGw9bhLtMMtBG87apmlnNDNPwf+4SzV7g==" saltValue="xnR4hdMTJBNoLVpXCoiTyA==" spinCount="100000" sheet="1" formatCells="0" formatColumns="0" insertRows="0" deleteRows="0" selectLockedCells="1"/>
  <sortState xmlns:xlrd2="http://schemas.microsoft.com/office/spreadsheetml/2017/richdata2" ref="F88:G99">
    <sortCondition ref="F88"/>
  </sortState>
  <mergeCells count="53">
    <mergeCell ref="B92:I92"/>
    <mergeCell ref="C50:D50"/>
    <mergeCell ref="C51:D51"/>
    <mergeCell ref="C74:D74"/>
    <mergeCell ref="C75:D75"/>
    <mergeCell ref="C76:D76"/>
    <mergeCell ref="B54:D54"/>
    <mergeCell ref="C66:D66"/>
    <mergeCell ref="C58:D58"/>
    <mergeCell ref="C59:D59"/>
    <mergeCell ref="C60:D60"/>
    <mergeCell ref="C61:D61"/>
    <mergeCell ref="C62:D62"/>
    <mergeCell ref="C85:J85"/>
    <mergeCell ref="C84:J84"/>
    <mergeCell ref="B80:D80"/>
    <mergeCell ref="B2:G2"/>
    <mergeCell ref="K2:L2"/>
    <mergeCell ref="C47:D47"/>
    <mergeCell ref="C48:D48"/>
    <mergeCell ref="C49:D49"/>
    <mergeCell ref="B13:D13"/>
    <mergeCell ref="B25:D25"/>
    <mergeCell ref="I2:J2"/>
    <mergeCell ref="F33:H33"/>
    <mergeCell ref="F35:H35"/>
    <mergeCell ref="B45:J46"/>
    <mergeCell ref="B14:G14"/>
    <mergeCell ref="B33:B36"/>
    <mergeCell ref="F34:H34"/>
    <mergeCell ref="F32:H32"/>
    <mergeCell ref="C63:D63"/>
    <mergeCell ref="C67:D67"/>
    <mergeCell ref="C68:D68"/>
    <mergeCell ref="C69:D69"/>
    <mergeCell ref="C64:D64"/>
    <mergeCell ref="C65:D65"/>
    <mergeCell ref="B96:I96"/>
    <mergeCell ref="B83:D83"/>
    <mergeCell ref="C52:D52"/>
    <mergeCell ref="C53:D53"/>
    <mergeCell ref="B81:D81"/>
    <mergeCell ref="B82:D82"/>
    <mergeCell ref="C70:D70"/>
    <mergeCell ref="C71:D71"/>
    <mergeCell ref="C72:D72"/>
    <mergeCell ref="C73:D73"/>
    <mergeCell ref="C78:D78"/>
    <mergeCell ref="B79:D79"/>
    <mergeCell ref="C55:D55"/>
    <mergeCell ref="C56:D56"/>
    <mergeCell ref="C57:D57"/>
    <mergeCell ref="C77:D77"/>
  </mergeCells>
  <conditionalFormatting sqref="B27">
    <cfRule type="expression" dxfId="21" priority="23">
      <formula>$B$27="ЗАПОЛНИТЬ УСЛОВИЯ ДОСТАВКИ"</formula>
    </cfRule>
  </conditionalFormatting>
  <conditionalFormatting sqref="B28">
    <cfRule type="expression" dxfId="20" priority="22">
      <formula>$B$28="ЗАПОЛНИТЬ БАЗИС ДОСТАВКИ"</formula>
    </cfRule>
  </conditionalFormatting>
  <conditionalFormatting sqref="B29">
    <cfRule type="expression" dxfId="19" priority="21">
      <formula>$B$29="ЗАПОЛНИТЬ условия оплаты по договору"</formula>
    </cfRule>
  </conditionalFormatting>
  <conditionalFormatting sqref="B31">
    <cfRule type="expression" dxfId="18" priority="20">
      <formula>$B$31="ЗАПОЛНИТЬ СПОСОБ ОПЛАТЫ"</formula>
    </cfRule>
  </conditionalFormatting>
  <conditionalFormatting sqref="B32">
    <cfRule type="expression" dxfId="17" priority="17">
      <formula>$B$32="В2В"</formula>
    </cfRule>
    <cfRule type="expression" dxfId="16" priority="18">
      <formula>$B$32="Оффлайн НВКЗ"</formula>
    </cfRule>
    <cfRule type="expression" dxfId="15" priority="19">
      <formula>$B$32="ЗАПОЛНИТЬ ВИД СДЕЛКИ"</formula>
    </cfRule>
  </conditionalFormatting>
  <conditionalFormatting sqref="B85:C85">
    <cfRule type="expression" dxfId="14" priority="16">
      <formula>$C$85&gt;0</formula>
    </cfRule>
  </conditionalFormatting>
  <conditionalFormatting sqref="D15 B25:D25">
    <cfRule type="expression" dxfId="13" priority="30">
      <formula>$B$31=$B$118</formula>
    </cfRule>
  </conditionalFormatting>
  <conditionalFormatting sqref="E27">
    <cfRule type="expression" dxfId="12" priority="12">
      <formula>$E$27&lt;$E$13</formula>
    </cfRule>
    <cfRule type="expression" dxfId="11" priority="13">
      <formula>$E$27&gt;$E$13</formula>
    </cfRule>
  </conditionalFormatting>
  <conditionalFormatting sqref="F31">
    <cfRule type="expression" dxfId="10" priority="28">
      <formula>#REF!&lt;15%</formula>
    </cfRule>
  </conditionalFormatting>
  <conditionalFormatting sqref="F41:F42">
    <cfRule type="expression" dxfId="9" priority="4">
      <formula>#REF!&lt;15%</formula>
    </cfRule>
  </conditionalFormatting>
  <conditionalFormatting sqref="F33:H33">
    <cfRule type="expression" dxfId="8" priority="25" stopIfTrue="1">
      <formula>$E$33&lt;20%</formula>
    </cfRule>
    <cfRule type="expression" dxfId="7" priority="26" stopIfTrue="1">
      <formula>$E$33&lt;30%</formula>
    </cfRule>
    <cfRule type="expression" dxfId="6" priority="27" stopIfTrue="1">
      <formula>$E$33&gt;=30%</formula>
    </cfRule>
  </conditionalFormatting>
  <conditionalFormatting sqref="F33:H34">
    <cfRule type="expression" dxfId="5" priority="8" stopIfTrue="1">
      <formula>$E$33&lt;5%</formula>
    </cfRule>
  </conditionalFormatting>
  <conditionalFormatting sqref="F34:H34">
    <cfRule type="expression" dxfId="4" priority="9" stopIfTrue="1">
      <formula>$E$33&lt;19%</formula>
    </cfRule>
    <cfRule type="expression" dxfId="3" priority="10" stopIfTrue="1">
      <formula>$E$33&lt;30%</formula>
    </cfRule>
    <cfRule type="expression" dxfId="2" priority="11" stopIfTrue="1">
      <formula>$E$33&gt;=30%</formula>
    </cfRule>
  </conditionalFormatting>
  <conditionalFormatting sqref="F35:H35">
    <cfRule type="expression" dxfId="1" priority="14">
      <formula>$F$35="Спасибо!!!"</formula>
    </cfRule>
    <cfRule type="expression" dxfId="0" priority="15">
      <formula>$F$35="Планируемая дата завешения сделки?"</formula>
    </cfRule>
  </conditionalFormatting>
  <dataValidations count="7">
    <dataValidation type="list" allowBlank="1" showInputMessage="1" showErrorMessage="1" sqref="B27" xr:uid="{00000000-0002-0000-0000-000000000000}">
      <formula1>B125:B127</formula1>
    </dataValidation>
    <dataValidation type="list" allowBlank="1" showInputMessage="1" showErrorMessage="1" sqref="B28" xr:uid="{00000000-0002-0000-0000-000001000000}">
      <formula1>B129:B131</formula1>
    </dataValidation>
    <dataValidation type="list" allowBlank="1" showInputMessage="1" showErrorMessage="1" sqref="B29" xr:uid="{00000000-0002-0000-0000-000002000000}">
      <formula1>B133:B140</formula1>
    </dataValidation>
    <dataValidation type="list" allowBlank="1" showInputMessage="1" showErrorMessage="1" sqref="B31" xr:uid="{00000000-0002-0000-0000-000003000000}">
      <formula1>B115:B123</formula1>
    </dataValidation>
    <dataValidation type="list" allowBlank="1" showInputMessage="1" showErrorMessage="1" sqref="B32" xr:uid="{00000000-0002-0000-0000-000004000000}">
      <formula1>$B$146</formula1>
    </dataValidation>
    <dataValidation type="list" allowBlank="1" showInputMessage="1" showErrorMessage="1" sqref="B1" xr:uid="{00000000-0002-0000-0000-000005000000}">
      <formula1>$B$106:$B$110</formula1>
    </dataValidation>
    <dataValidation type="list" allowBlank="1" showInputMessage="1" showErrorMessage="1" sqref="G55:G78 G16:G24 G48:G53 G4:G12" xr:uid="{00000000-0002-0000-0000-000006000000}">
      <formula1>$H$115:$H$119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U D A A B Q S w M E F A A C A A g A l X V d V 0 a A n 2 y n A A A A + Q A A A B I A H A B D b 2 5 m a W c v U G F j a 2 F n Z S 5 4 b W w g o h g A K K A U A A A A A A A A A A A A A A A A A A A A A A A A A A A A h Y 9 N D o I w G E S v Q r q n P 4 j G k I + y c C u J 0 W j c k l K h E Y p p i + V u L j y S V 5 B E M e x c z u R N 8 u b 1 e E I 2 t E 1 w l 8 a q T q e I Y Y o C q U V X K l 2 l q H e X c I 0 y D r t C X I t K B i O s b T J Y l a L a u V t C i P c e + w X u T E U i S h k 5 5 9 u D q G V b h E p b V 2 g h 0 W 9 V / l 8 h D q e P D I 9 w F O O Y r p a Y x Z Q B m X r I l Z 4 x o z K m Q G Y l b P r G 9 U Z y 0 4 f 7 I 5 A p A v n e 4 G 9 Q S w M E F A A C A A g A l X V d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V 1 X V e 9 p V 6 d f A A A A J 8 A A A A T A B w A R m 9 y b X V s Y X M v U 2 V j d G l v b j E u b S C i G A A o o B Q A A A A A A A A A A A A A A A A A A A A A A A A A A A A r T k 0 u y c z P U w i G 0 I b W v F y 8 X M U Z i U W p K Q o X F l 3 Y c G H j h d 0 X d l x s u 7 D B U M F W I S e 1 h J d L A Q g u z L j Y e L H p w r 6 L 7 R f 2 X t h x Y R d Q z r U i O T V H z 7 m 0 q C g 1 r y Q 8 v y g 7 K T 8 / W 0 O z O t o v M T f V V g n N M K X Y 2 m j n / L w S o N p Y X q 7 M P O z G W g M A U E s B A i 0 A F A A C A A g A l X V d V 0 a A n 2 y n A A A A + Q A A A B I A A A A A A A A A A A A A A A A A A A A A A E N v b m Z p Z y 9 Q Y W N r Y W d l L n h t b F B L A Q I t A B Q A A g A I A J V 1 X V c P y u m r p A A A A O k A A A A T A A A A A A A A A A A A A A A A A P M A A A B b Q 2 9 u d G V u d F 9 U e X B l c 1 0 u e G 1 s U E s B A i 0 A F A A C A A g A l X V d V 7 2 l X p 1 8 A A A A n w A A A B M A A A A A A A A A A A A A A A A A 5 A E A A E Z v c m 1 1 b G F z L 1 N l Y 3 R p b 2 4 x L m 1 Q S w U G A A A A A A M A A w D C A A A A r Q I A A A A A N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d w g A A A A A A A B V C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U 3 R h d H V z I i B W Y W x 1 Z T 0 i c 0 N v b X B s Z X R l I i A v P j x F b n R y e S B U e X B l P S J G a W x s Q 2 9 1 b n Q i I F Z h b H V l P S J s N y I g L z 4 8 R W 5 0 c n k g V H l w Z T 0 i R m l s b E V y c m 9 y Q 2 9 1 b n Q i I F Z h b H V l P S J s M C I g L z 4 8 R W 5 0 c n k g V H l w Z T 0 i R m l s b E N v b H V t b l R 5 c G V z I i B W Y W x 1 Z T 0 i c 0 F B Q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E V y c m 9 y Q 2 9 k Z S I g V m F s d W U 9 I n N V b m t u b 3 d u I i A v P j x F b n R y e S B U e X B l P S J G a W x s T G F z d F V w Z G F 0 Z W Q i I F Z h b H V l P S J k M j A y M y 0 x M C 0 y O V Q x M T o 0 M z o z N C 4 3 M z M 2 M z c 5 W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0 J v Q u N G B 0 Y I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D E v 0 J j R g d G C 0 L 7 R h 9 C 9 0 L j Q u i 5 7 Q 2 9 s d W 1 u M S w w f S Z x d W 9 0 O y w m c X V v d D t T Z W N 0 a W 9 u M S / Q o t C w 0 L H Q u 9 C 4 0 Y b Q s D E v 0 J j R g d G C 0 L 7 R h 9 C 9 0 L j Q u i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/ Q o t C w 0 L H Q u 9 C 4 0 Y b Q s D E v 0 J j R g d G C 0 L 7 R h 9 C 9 0 L j Q u i 5 7 Q 2 9 s d W 1 u M S w w f S Z x d W 9 0 O y w m c X V v d D t T Z W N 0 a W 9 u M S / Q o t C w 0 L H Q u 9 C 4 0 Y b Q s D E v 0 J j R g d G C 0 L 7 R h 9 C 9 0 L j Q u i 5 7 Q 2 9 s d W 1 u M i w x f S Z x d W 9 0 O 1 0 s J n F 1 b 3 Q 7 U m V s Y X R p b 2 5 z a G l w S W 5 m b y Z x d W 9 0 O z p b X X 0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g l R D E l O D E l R D E l O D I l R D A l Q k U l R D E l O D c l R D A l Q k Q l R D A l Q j g l R D A l Q k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R v r h 0 h d 2 U O 2 5 Q b 2 e 4 D k 6 Q A A A A A C A A A A A A A Q Z g A A A A E A A C A A A A D 8 9 a I 1 / n N o J g D E 5 m j Y k G V N h N X 9 N Z D c 8 V h t 6 w g I o p o d 6 g A A A A A O g A A A A A I A A C A A A A D n 7 H 5 9 4 n j w a t p q 3 m O g k K 2 J V o 4 3 J z O q v j o 7 a g E J 3 4 O k x F A A A A B W c C p S M X S w U Q q Y l i A 4 i o k 3 D K f D y z 4 W 2 c 0 5 I a R S W M Q 0 3 w w C D S r 2 b m U x v 5 B 0 8 k T y f G + k l i e a X v Y k J E k c q J 3 I a V 1 i 0 Q 6 l / C V 3 5 f R M a w u y l Z o b y 0 A A A A C + / q / 0 w C 1 3 y D F x s K H Q s b c + S B Z w n P h o D U Q C e 1 H o s D y 8 0 k K s v 2 F I 0 x N c R Q m l K X l E X z m 7 g W 1 Q T a V b 6 g J 4 H g h c L z S 3 < / D a t a M a s h u p > 
</file>

<file path=customXml/itemProps1.xml><?xml version="1.0" encoding="utf-8"?>
<ds:datastoreItem xmlns:ds="http://schemas.openxmlformats.org/officeDocument/2006/customXml" ds:itemID="{A8FC988D-485A-4159-B7BB-D7BCBDB67F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Главный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2026-05-04T20:36:20Z</dcterms:modified>
</cp:coreProperties>
</file>